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dpqinc.sharepoint.com/sites/100_economie/Documents partages/1081_Mensuel_Porc/Tendances des prix et Prévisions ASRA/Archives/2024/"/>
    </mc:Choice>
  </mc:AlternateContent>
  <xr:revisionPtr revIDLastSave="354" documentId="14_{429D5F7C-8D03-44D9-99BA-A5E8248A853D}" xr6:coauthVersionLast="47" xr6:coauthVersionMax="47" xr10:uidLastSave="{54ACF6C1-A5E4-41C4-947E-391D18182FE1}"/>
  <bookViews>
    <workbookView xWindow="-28920" yWindow="-120" windowWidth="29040" windowHeight="15720" tabRatio="728" xr2:uid="{00000000-000D-0000-FFFF-FFFF00000000}"/>
  </bookViews>
  <sheets>
    <sheet name="Information" sheetId="15" r:id="rId1"/>
    <sheet name="Résultats vs 2023" sheetId="10" r:id="rId2"/>
    <sheet name="Réductions du prix des porcs" sheetId="12" r:id="rId3"/>
    <sheet name="Détails ASRA" sheetId="11" r:id="rId4"/>
    <sheet name="Saisie" sheetId="16" state="hidden" r:id="rId5"/>
    <sheet name="Coti ASRA prev" sheetId="3" state="hidden" r:id="rId6"/>
  </sheets>
  <definedNames>
    <definedName name="_ftn1" localSheetId="0">Information!$A$25</definedName>
    <definedName name="_ftnref1" localSheetId="0">Information!$A$11</definedName>
    <definedName name="_xlnm.Print_Titles" localSheetId="3">'Détails ASRA'!$1:$2</definedName>
    <definedName name="_xlnm.Print_Titles" localSheetId="0">Information!$1:$2</definedName>
    <definedName name="_xlnm.Print_Titles" localSheetId="1">'Résultats vs 2023'!$1:$1</definedName>
    <definedName name="nbporcsassurables" localSheetId="4">Saisie!$B$23</definedName>
    <definedName name="nbtruiesassurables" localSheetId="4">Saisie!$B$24</definedName>
    <definedName name="OLE_LINK1" localSheetId="0">Information!$J$4</definedName>
    <definedName name="OLE_LINK6" localSheetId="0">Information!$A$4</definedName>
    <definedName name="poidscarcasse" localSheetId="4">Saisie!$B$28</definedName>
    <definedName name="_xlnm.Print_Area" localSheetId="5">'Coti ASRA prev'!$B$2:$S$31</definedName>
    <definedName name="_xlnm.Print_Area" localSheetId="3">'Détails ASRA'!$C$1:$N$31</definedName>
    <definedName name="_xlnm.Print_Area" localSheetId="0">Information!$A$1:$I$157</definedName>
    <definedName name="_xlnm.Print_Area" localSheetId="2">'Réductions du prix des porcs'!$A$1:$L$53</definedName>
    <definedName name="_xlnm.Print_Area" localSheetId="1">'Résultats vs 2023'!$A$1:$Q$62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 i="11" l="1"/>
  <c r="P30" i="16"/>
  <c r="P29" i="16"/>
  <c r="J7" i="16" l="1"/>
  <c r="J6" i="16"/>
  <c r="D5" i="16" l="1"/>
  <c r="F5" i="16" l="1"/>
  <c r="N17" i="16" l="1"/>
  <c r="N11" i="16"/>
  <c r="D49" i="12" l="1"/>
  <c r="D39" i="12" l="1"/>
  <c r="D38" i="12"/>
  <c r="C18" i="12"/>
  <c r="C5" i="12"/>
  <c r="A9" i="16"/>
  <c r="D51" i="12" l="1"/>
  <c r="C48" i="12"/>
  <c r="C50" i="12" s="1"/>
  <c r="C36" i="12"/>
  <c r="C41" i="12" s="1"/>
  <c r="D45" i="12"/>
  <c r="D47" i="12" l="1"/>
  <c r="C45" i="12" l="1"/>
  <c r="C44" i="12"/>
  <c r="C43" i="12"/>
  <c r="C42" i="12"/>
  <c r="D44" i="12"/>
  <c r="D43" i="12"/>
  <c r="D42" i="12"/>
  <c r="D37" i="12" l="1"/>
  <c r="E5" i="16" l="1"/>
  <c r="G5" i="16"/>
  <c r="H5" i="16"/>
  <c r="I5" i="16"/>
  <c r="C6" i="16"/>
  <c r="C7" i="16" l="1"/>
  <c r="C8" i="16" l="1"/>
  <c r="D40" i="12"/>
  <c r="K8" i="11" l="1"/>
  <c r="K7" i="11"/>
  <c r="J8" i="11"/>
  <c r="J7" i="11"/>
  <c r="H59" i="10" l="1"/>
  <c r="F59" i="10"/>
  <c r="F60" i="10" s="1"/>
  <c r="N59" i="10" l="1"/>
  <c r="L20" i="3" l="1"/>
  <c r="J20" i="3"/>
  <c r="I27" i="11"/>
  <c r="I21" i="11"/>
  <c r="H53" i="10"/>
  <c r="H52" i="10"/>
  <c r="I6" i="10"/>
  <c r="C6" i="10"/>
  <c r="F2" i="10" s="1"/>
  <c r="F6" i="10" l="1"/>
  <c r="D6" i="10"/>
  <c r="J28" i="11" l="1"/>
  <c r="E60" i="10" s="1"/>
  <c r="J26" i="11"/>
  <c r="K22" i="11"/>
  <c r="M59" i="10" s="1"/>
  <c r="J22" i="11"/>
  <c r="E59" i="10" s="1"/>
  <c r="K20" i="11"/>
  <c r="J20" i="11"/>
  <c r="K17" i="11"/>
  <c r="J17" i="11"/>
  <c r="K11" i="11"/>
  <c r="J11" i="11"/>
  <c r="K9" i="11"/>
  <c r="J9" i="11"/>
  <c r="K6" i="11"/>
  <c r="J6" i="11"/>
  <c r="G60" i="10" l="1"/>
  <c r="J21" i="11"/>
  <c r="G59" i="10"/>
  <c r="K21" i="11"/>
  <c r="O59" i="10"/>
  <c r="L14" i="11"/>
  <c r="A44" i="16" l="1"/>
  <c r="A43" i="16"/>
  <c r="A42" i="16"/>
  <c r="A41" i="16"/>
  <c r="A40" i="16"/>
  <c r="A39" i="16"/>
  <c r="A38" i="16"/>
  <c r="A37" i="16"/>
  <c r="A36" i="16"/>
  <c r="A35" i="16"/>
  <c r="A34" i="16"/>
  <c r="A33" i="16"/>
  <c r="A32" i="16"/>
  <c r="A31" i="16"/>
  <c r="N30" i="16"/>
  <c r="A30" i="16"/>
  <c r="A29" i="16"/>
  <c r="A28" i="16"/>
  <c r="A27" i="16"/>
  <c r="A26" i="16"/>
  <c r="A25" i="16"/>
  <c r="A24" i="16"/>
  <c r="A23" i="16"/>
  <c r="A22" i="16"/>
  <c r="B21" i="16"/>
  <c r="B22" i="16" s="1"/>
  <c r="B23" i="16" s="1"/>
  <c r="B24" i="16" s="1"/>
  <c r="B25" i="16" s="1"/>
  <c r="B26" i="16" s="1"/>
  <c r="B27" i="16" s="1"/>
  <c r="B28" i="16" s="1"/>
  <c r="B29" i="16" s="1"/>
  <c r="B30" i="16" s="1"/>
  <c r="B31" i="16" s="1"/>
  <c r="B32" i="16" s="1"/>
  <c r="A21" i="16"/>
  <c r="A20" i="16"/>
  <c r="A19" i="16"/>
  <c r="A18" i="16"/>
  <c r="A17" i="16"/>
  <c r="A16" i="16"/>
  <c r="A15" i="16"/>
  <c r="A14" i="16"/>
  <c r="A13" i="16"/>
  <c r="A12" i="16"/>
  <c r="A11" i="16"/>
  <c r="B10" i="16"/>
  <c r="B11" i="16" s="1"/>
  <c r="B12" i="16" s="1"/>
  <c r="B13" i="16" s="1"/>
  <c r="B14" i="16" s="1"/>
  <c r="B15" i="16" s="1"/>
  <c r="B16" i="16" s="1"/>
  <c r="B17" i="16" s="1"/>
  <c r="B18" i="16" s="1"/>
  <c r="B19" i="16" s="1"/>
  <c r="B20" i="16" s="1"/>
  <c r="A10" i="16"/>
  <c r="B5" i="16"/>
  <c r="T3" i="16"/>
  <c r="S3" i="16"/>
  <c r="R3" i="16"/>
  <c r="Q3" i="16"/>
  <c r="P3" i="16"/>
  <c r="O3" i="16"/>
  <c r="D6" i="16" l="1"/>
  <c r="H7" i="16"/>
  <c r="D7" i="16"/>
  <c r="E6" i="16"/>
  <c r="E7" i="16"/>
  <c r="H6" i="16"/>
  <c r="I6" i="16"/>
  <c r="F6" i="16"/>
  <c r="G6" i="16"/>
  <c r="F7" i="16"/>
  <c r="I7" i="16"/>
  <c r="G7" i="16"/>
  <c r="K26" i="11"/>
  <c r="K28" i="11"/>
  <c r="M60" i="10" s="1"/>
  <c r="B33" i="16"/>
  <c r="B34" i="16" s="1"/>
  <c r="B35" i="16" s="1"/>
  <c r="B36" i="16" s="1"/>
  <c r="B37" i="16" s="1"/>
  <c r="B38" i="16" s="1"/>
  <c r="B39" i="16" s="1"/>
  <c r="B40" i="16" s="1"/>
  <c r="B41" i="16" s="1"/>
  <c r="B42" i="16" s="1"/>
  <c r="B43" i="16" s="1"/>
  <c r="B44" i="16" s="1"/>
  <c r="T7" i="16" l="1"/>
  <c r="O6" i="16"/>
  <c r="S7" i="16"/>
  <c r="P6" i="16"/>
  <c r="R7" i="16"/>
  <c r="P7" i="16"/>
  <c r="O7" i="16"/>
  <c r="Q7" i="16"/>
  <c r="S6" i="16"/>
  <c r="R6" i="16"/>
  <c r="T6" i="16"/>
  <c r="Q6" i="16"/>
  <c r="K27" i="11"/>
  <c r="O60" i="10"/>
  <c r="J12" i="11"/>
  <c r="C40" i="12" l="1"/>
  <c r="C39" i="12"/>
  <c r="C38" i="12"/>
  <c r="C37" i="12"/>
  <c r="K12" i="11" l="1"/>
  <c r="C9" i="10"/>
  <c r="D9" i="10" s="1"/>
  <c r="L11" i="3"/>
  <c r="L12" i="3"/>
  <c r="L13" i="3"/>
  <c r="L14" i="3"/>
  <c r="L15" i="3"/>
  <c r="R15" i="3"/>
  <c r="T15" i="3"/>
  <c r="U15" i="3"/>
  <c r="V15" i="3"/>
  <c r="L16" i="3"/>
  <c r="R16" i="3"/>
  <c r="T16" i="3"/>
  <c r="U16" i="3"/>
  <c r="V16" i="3"/>
  <c r="I17" i="3"/>
  <c r="I18" i="3" s="1"/>
  <c r="I19" i="3" s="1"/>
  <c r="K17" i="3"/>
  <c r="R17" i="3"/>
  <c r="T17" i="3"/>
  <c r="U17" i="3"/>
  <c r="V17" i="3"/>
  <c r="K18" i="3"/>
  <c r="K26" i="3" s="1"/>
  <c r="O18" i="3"/>
  <c r="O19" i="3"/>
  <c r="N20" i="3"/>
  <c r="K20" i="3"/>
  <c r="R20" i="3"/>
  <c r="T20" i="3"/>
  <c r="R21" i="3"/>
  <c r="T21" i="3"/>
  <c r="J26" i="3"/>
  <c r="N22" i="3" s="1"/>
  <c r="N23" i="3" s="1"/>
  <c r="O22" i="3"/>
  <c r="O23" i="3"/>
  <c r="I24" i="3"/>
  <c r="I6" i="11"/>
  <c r="I7" i="11"/>
  <c r="I8" i="11"/>
  <c r="I9" i="11"/>
  <c r="I12" i="11"/>
  <c r="I17" i="11"/>
  <c r="N9" i="10" l="1"/>
  <c r="O9" i="10" s="1"/>
  <c r="L9" i="10"/>
  <c r="M9" i="10" s="1"/>
  <c r="F9" i="10"/>
  <c r="J9" i="10"/>
  <c r="K9" i="10" s="1"/>
  <c r="H9" i="10"/>
  <c r="E6" i="12" s="1"/>
  <c r="E9" i="10"/>
  <c r="I52" i="10"/>
  <c r="V18" i="3"/>
  <c r="U18" i="3"/>
  <c r="C10" i="10"/>
  <c r="I53" i="10"/>
  <c r="L53" i="10"/>
  <c r="M53" i="10" s="1"/>
  <c r="O20" i="3"/>
  <c r="V19" i="3"/>
  <c r="S19" i="3" s="1"/>
  <c r="T19" i="3" s="1"/>
  <c r="S18" i="3"/>
  <c r="T18" i="3" s="1"/>
  <c r="N10" i="10" l="1"/>
  <c r="O10" i="10" s="1"/>
  <c r="H10" i="10"/>
  <c r="L10" i="10"/>
  <c r="M10" i="10" s="1"/>
  <c r="F10" i="10"/>
  <c r="G10" i="10" s="1"/>
  <c r="D10" i="10"/>
  <c r="E10" i="10" s="1"/>
  <c r="J10" i="10"/>
  <c r="K10" i="10" s="1"/>
  <c r="L54" i="10"/>
  <c r="M54" i="10" s="1"/>
  <c r="G9" i="10"/>
  <c r="H60" i="10"/>
  <c r="P59" i="10"/>
  <c r="P60" i="10" s="1"/>
  <c r="N60" i="10"/>
  <c r="Q18" i="3"/>
  <c r="R18" i="3" s="1"/>
  <c r="U19" i="3"/>
  <c r="Q19" i="3" s="1"/>
  <c r="R19" i="3" s="1"/>
  <c r="C11" i="10"/>
  <c r="N11" i="10" l="1"/>
  <c r="F11" i="10"/>
  <c r="G11" i="10" s="1"/>
  <c r="L11" i="10"/>
  <c r="M11" i="10" s="1"/>
  <c r="H11" i="10"/>
  <c r="J11" i="10"/>
  <c r="D11" i="10"/>
  <c r="E11" i="10" s="1"/>
  <c r="E7" i="12"/>
  <c r="C12" i="10"/>
  <c r="C36" i="10"/>
  <c r="N12" i="10" l="1"/>
  <c r="O12" i="10" s="1"/>
  <c r="D12" i="10"/>
  <c r="E12" i="10" s="1"/>
  <c r="L12" i="10"/>
  <c r="M12" i="10" s="1"/>
  <c r="J12" i="10"/>
  <c r="K12" i="10" s="1"/>
  <c r="H12" i="10"/>
  <c r="F12" i="10"/>
  <c r="G12" i="10" s="1"/>
  <c r="L36" i="10"/>
  <c r="M36" i="10" s="1"/>
  <c r="C13" i="10"/>
  <c r="E8" i="12"/>
  <c r="N36" i="10"/>
  <c r="O36" i="10" s="1"/>
  <c r="O11" i="10"/>
  <c r="J36" i="10"/>
  <c r="K36" i="10" s="1"/>
  <c r="K11" i="10"/>
  <c r="F36" i="10"/>
  <c r="G36" i="10" s="1"/>
  <c r="H36" i="10"/>
  <c r="E37" i="12" s="1"/>
  <c r="D36" i="10"/>
  <c r="E36" i="10" s="1"/>
  <c r="L13" i="10" l="1"/>
  <c r="M13" i="10" s="1"/>
  <c r="F13" i="10"/>
  <c r="G13" i="10" s="1"/>
  <c r="N13" i="10"/>
  <c r="O13" i="10" s="1"/>
  <c r="J13" i="10"/>
  <c r="K13" i="10" s="1"/>
  <c r="D13" i="10"/>
  <c r="E13" i="10" s="1"/>
  <c r="H13" i="10"/>
  <c r="C14" i="10"/>
  <c r="C15" i="10" s="1"/>
  <c r="E9" i="12"/>
  <c r="E10" i="12" l="1"/>
  <c r="C37" i="10"/>
  <c r="F15" i="10"/>
  <c r="D15" i="10"/>
  <c r="N15" i="10"/>
  <c r="L15" i="10"/>
  <c r="J15" i="10"/>
  <c r="H15" i="10"/>
  <c r="F14" i="10"/>
  <c r="G14" i="10" s="1"/>
  <c r="J14" i="10"/>
  <c r="K14" i="10" s="1"/>
  <c r="D14" i="10"/>
  <c r="D37" i="10" s="1"/>
  <c r="E37" i="10" s="1"/>
  <c r="L14" i="10"/>
  <c r="L37" i="10" s="1"/>
  <c r="M37" i="10" s="1"/>
  <c r="H14" i="10"/>
  <c r="E11" i="12" s="1"/>
  <c r="N14" i="10"/>
  <c r="O14" i="10" s="1"/>
  <c r="C16" i="10"/>
  <c r="J37" i="10" l="1"/>
  <c r="K37" i="10" s="1"/>
  <c r="F37" i="10"/>
  <c r="G37" i="10" s="1"/>
  <c r="H37" i="10"/>
  <c r="E38" i="12" s="1"/>
  <c r="N37" i="10"/>
  <c r="O37" i="10" s="1"/>
  <c r="M14" i="10"/>
  <c r="F16" i="10"/>
  <c r="G16" i="10" s="1"/>
  <c r="L16" i="10"/>
  <c r="M16" i="10" s="1"/>
  <c r="H16" i="10"/>
  <c r="E13" i="12" s="1"/>
  <c r="D16" i="10"/>
  <c r="E16" i="10" s="1"/>
  <c r="J16" i="10"/>
  <c r="K16" i="10" s="1"/>
  <c r="N16" i="10"/>
  <c r="O16" i="10" s="1"/>
  <c r="E14" i="10"/>
  <c r="O15" i="10"/>
  <c r="K15" i="10"/>
  <c r="C17" i="10"/>
  <c r="E15" i="10"/>
  <c r="E12" i="12"/>
  <c r="G15" i="10"/>
  <c r="M15" i="10"/>
  <c r="F17" i="10" l="1"/>
  <c r="J17" i="10"/>
  <c r="D17" i="10"/>
  <c r="L17" i="10"/>
  <c r="N17" i="10"/>
  <c r="H17" i="10"/>
  <c r="E14" i="12" s="1"/>
  <c r="C18" i="10"/>
  <c r="C38" i="10"/>
  <c r="F18" i="10" l="1"/>
  <c r="D18" i="10"/>
  <c r="H18" i="10"/>
  <c r="N18" i="10"/>
  <c r="L18" i="10"/>
  <c r="J18" i="10"/>
  <c r="M17" i="10"/>
  <c r="L38" i="10"/>
  <c r="M38" i="10" s="1"/>
  <c r="K17" i="10"/>
  <c r="J38" i="10"/>
  <c r="K38" i="10" s="1"/>
  <c r="E17" i="10"/>
  <c r="D38" i="10"/>
  <c r="E38" i="10" s="1"/>
  <c r="C19" i="10"/>
  <c r="G17" i="10"/>
  <c r="F38" i="10"/>
  <c r="G38" i="10" s="1"/>
  <c r="O17" i="10"/>
  <c r="N38" i="10"/>
  <c r="O38" i="10" s="1"/>
  <c r="H38" i="10"/>
  <c r="E39" i="12" s="1"/>
  <c r="F19" i="10" l="1"/>
  <c r="G19" i="10" s="1"/>
  <c r="L19" i="10"/>
  <c r="M19" i="10" s="1"/>
  <c r="H19" i="10"/>
  <c r="I19" i="10" s="1"/>
  <c r="E16" i="12" s="1"/>
  <c r="D19" i="10"/>
  <c r="E19" i="10" s="1"/>
  <c r="J19" i="10"/>
  <c r="K19" i="10" s="1"/>
  <c r="N19" i="10"/>
  <c r="O19" i="10" s="1"/>
  <c r="C20" i="10"/>
  <c r="E18" i="10"/>
  <c r="K18" i="10"/>
  <c r="M18" i="10"/>
  <c r="E15" i="12"/>
  <c r="O18" i="10"/>
  <c r="G18" i="10"/>
  <c r="F20" i="10" l="1"/>
  <c r="G20" i="10" s="1"/>
  <c r="D20" i="10"/>
  <c r="H20" i="10"/>
  <c r="N20" i="10"/>
  <c r="L20" i="10"/>
  <c r="M20" i="10" s="1"/>
  <c r="J20" i="10"/>
  <c r="C39" i="10"/>
  <c r="C47" i="10"/>
  <c r="H47" i="10" s="1"/>
  <c r="C22" i="10"/>
  <c r="C58" i="10" l="1"/>
  <c r="F22" i="10"/>
  <c r="J22" i="10"/>
  <c r="D22" i="10"/>
  <c r="L22" i="10"/>
  <c r="N22" i="10"/>
  <c r="H22" i="10"/>
  <c r="F47" i="10"/>
  <c r="P4" i="16" s="1"/>
  <c r="D47" i="10"/>
  <c r="O4" i="16" s="1"/>
  <c r="L47" i="10"/>
  <c r="S4" i="16" s="1"/>
  <c r="J47" i="10"/>
  <c r="R4" i="16" s="1"/>
  <c r="N47" i="10"/>
  <c r="T4" i="16" s="1"/>
  <c r="N4" i="16"/>
  <c r="F39" i="10"/>
  <c r="G39" i="10" s="1"/>
  <c r="K20" i="10"/>
  <c r="J39" i="10"/>
  <c r="K39" i="10" s="1"/>
  <c r="E20" i="10"/>
  <c r="D39" i="10"/>
  <c r="E39" i="10" s="1"/>
  <c r="O20" i="10"/>
  <c r="N39" i="10"/>
  <c r="O39" i="10" s="1"/>
  <c r="L39" i="10"/>
  <c r="M39" i="10" s="1"/>
  <c r="J5" i="11"/>
  <c r="C23" i="10"/>
  <c r="I20" i="10"/>
  <c r="E17" i="12" s="1"/>
  <c r="H39" i="10"/>
  <c r="I39" i="10" s="1"/>
  <c r="E40" i="12" s="1"/>
  <c r="J14" i="11" l="1"/>
  <c r="F23" i="10"/>
  <c r="G23" i="10" s="1"/>
  <c r="H23" i="10"/>
  <c r="I23" i="10" s="1"/>
  <c r="E20" i="12" s="1"/>
  <c r="D23" i="10"/>
  <c r="E23" i="10" s="1"/>
  <c r="N23" i="10"/>
  <c r="O23" i="10" s="1"/>
  <c r="L23" i="10"/>
  <c r="M23" i="10" s="1"/>
  <c r="J23" i="10"/>
  <c r="K23" i="10" s="1"/>
  <c r="Q4" i="16"/>
  <c r="J16" i="11"/>
  <c r="J24" i="11" s="1"/>
  <c r="K5" i="11"/>
  <c r="E47" i="10"/>
  <c r="I22" i="10"/>
  <c r="E19" i="12" s="1"/>
  <c r="O47" i="10"/>
  <c r="G22" i="10"/>
  <c r="I47" i="10"/>
  <c r="E49" i="12" s="1"/>
  <c r="O22" i="10"/>
  <c r="G47" i="10"/>
  <c r="C24" i="10"/>
  <c r="M22" i="10"/>
  <c r="E22" i="10"/>
  <c r="K22" i="10"/>
  <c r="K47" i="10"/>
  <c r="M47" i="10"/>
  <c r="K16" i="11" l="1"/>
  <c r="K24" i="11" s="1"/>
  <c r="F24" i="10"/>
  <c r="G24" i="10" s="1"/>
  <c r="L24" i="10"/>
  <c r="M24" i="10" s="1"/>
  <c r="D24" i="10"/>
  <c r="J24" i="10"/>
  <c r="H24" i="10"/>
  <c r="I24" i="10" s="1"/>
  <c r="E21" i="12" s="1"/>
  <c r="N24" i="10"/>
  <c r="O24" i="10" s="1"/>
  <c r="C41" i="10"/>
  <c r="C25" i="10"/>
  <c r="F25" i="10" l="1"/>
  <c r="J25" i="10"/>
  <c r="H25" i="10"/>
  <c r="I25" i="10" s="1"/>
  <c r="E22" i="12" s="1"/>
  <c r="D25" i="10"/>
  <c r="L25" i="10"/>
  <c r="N25" i="10"/>
  <c r="N41" i="10"/>
  <c r="O41" i="10" s="1"/>
  <c r="L41" i="10"/>
  <c r="M41" i="10" s="1"/>
  <c r="H41" i="10"/>
  <c r="I41" i="10" s="1"/>
  <c r="E42" i="12" s="1"/>
  <c r="E24" i="10"/>
  <c r="D41" i="10"/>
  <c r="E41" i="10" s="1"/>
  <c r="C26" i="10"/>
  <c r="F41" i="10"/>
  <c r="G41" i="10" s="1"/>
  <c r="K24" i="10"/>
  <c r="J41" i="10"/>
  <c r="K41" i="10" s="1"/>
  <c r="F26" i="10" l="1"/>
  <c r="G26" i="10" s="1"/>
  <c r="H26" i="10"/>
  <c r="I26" i="10" s="1"/>
  <c r="E23" i="12" s="1"/>
  <c r="D26" i="10"/>
  <c r="E26" i="10" s="1"/>
  <c r="N26" i="10"/>
  <c r="O26" i="10" s="1"/>
  <c r="L26" i="10"/>
  <c r="M26" i="10" s="1"/>
  <c r="J26" i="10"/>
  <c r="K26" i="10" s="1"/>
  <c r="E25" i="10"/>
  <c r="O25" i="10"/>
  <c r="K25" i="10"/>
  <c r="G25" i="10"/>
  <c r="M25" i="10"/>
  <c r="C27" i="10"/>
  <c r="F27" i="10" l="1"/>
  <c r="G27" i="10" s="1"/>
  <c r="J27" i="10"/>
  <c r="K27" i="10" s="1"/>
  <c r="D27" i="10"/>
  <c r="E27" i="10" s="1"/>
  <c r="L27" i="10"/>
  <c r="M27" i="10" s="1"/>
  <c r="H27" i="10"/>
  <c r="N27" i="10"/>
  <c r="C28" i="10"/>
  <c r="C42" i="10"/>
  <c r="F28" i="10" l="1"/>
  <c r="H28" i="10"/>
  <c r="D28" i="10"/>
  <c r="N28" i="10"/>
  <c r="L28" i="10"/>
  <c r="J28" i="10"/>
  <c r="J42" i="10"/>
  <c r="K42" i="10" s="1"/>
  <c r="L42" i="10"/>
  <c r="M42" i="10" s="1"/>
  <c r="F42" i="10"/>
  <c r="G42" i="10" s="1"/>
  <c r="D42" i="10"/>
  <c r="E42" i="10" s="1"/>
  <c r="O27" i="10"/>
  <c r="N42" i="10"/>
  <c r="O42" i="10" s="1"/>
  <c r="I27" i="10"/>
  <c r="E24" i="12" s="1"/>
  <c r="H42" i="10"/>
  <c r="I42" i="10" s="1"/>
  <c r="E43" i="12" s="1"/>
  <c r="C29" i="10"/>
  <c r="F29" i="10" l="1"/>
  <c r="G29" i="10" s="1"/>
  <c r="J29" i="10"/>
  <c r="K29" i="10" s="1"/>
  <c r="H29" i="10"/>
  <c r="I29" i="10" s="1"/>
  <c r="E26" i="12" s="1"/>
  <c r="D29" i="10"/>
  <c r="E29" i="10" s="1"/>
  <c r="L29" i="10"/>
  <c r="M29" i="10" s="1"/>
  <c r="N29" i="10"/>
  <c r="O29" i="10" s="1"/>
  <c r="G28" i="10"/>
  <c r="O28" i="10"/>
  <c r="I28" i="10"/>
  <c r="E25" i="12" s="1"/>
  <c r="K28" i="10"/>
  <c r="C30" i="10"/>
  <c r="M28" i="10"/>
  <c r="E28" i="10"/>
  <c r="F30" i="10" l="1"/>
  <c r="G30" i="10" s="1"/>
  <c r="J30" i="10"/>
  <c r="H30" i="10"/>
  <c r="D30" i="10"/>
  <c r="E30" i="10" s="1"/>
  <c r="N30" i="10"/>
  <c r="L30" i="10"/>
  <c r="M30" i="10" s="1"/>
  <c r="C43" i="10"/>
  <c r="C31" i="10"/>
  <c r="F31" i="10" l="1"/>
  <c r="J31" i="10"/>
  <c r="H31" i="10"/>
  <c r="I31" i="10" s="1"/>
  <c r="E28" i="12" s="1"/>
  <c r="D31" i="10"/>
  <c r="L31" i="10"/>
  <c r="N31" i="10"/>
  <c r="I30" i="10"/>
  <c r="E27" i="12" s="1"/>
  <c r="F43" i="10"/>
  <c r="G43" i="10" s="1"/>
  <c r="H43" i="10"/>
  <c r="I43" i="10" s="1"/>
  <c r="E44" i="12" s="1"/>
  <c r="C32" i="10"/>
  <c r="K30" i="10"/>
  <c r="J43" i="10"/>
  <c r="K43" i="10" s="1"/>
  <c r="O30" i="10"/>
  <c r="N43" i="10"/>
  <c r="O43" i="10" s="1"/>
  <c r="L43" i="10"/>
  <c r="M43" i="10" s="1"/>
  <c r="D43" i="10"/>
  <c r="E43" i="10" s="1"/>
  <c r="F32" i="10" l="1"/>
  <c r="G32" i="10" s="1"/>
  <c r="J32" i="10"/>
  <c r="K32" i="10" s="1"/>
  <c r="H32" i="10"/>
  <c r="I32" i="10" s="1"/>
  <c r="E29" i="12" s="1"/>
  <c r="D32" i="10"/>
  <c r="E32" i="10" s="1"/>
  <c r="N32" i="10"/>
  <c r="O32" i="10" s="1"/>
  <c r="L32" i="10"/>
  <c r="M32" i="10" s="1"/>
  <c r="C33" i="10"/>
  <c r="M31" i="10"/>
  <c r="G31" i="10"/>
  <c r="E31" i="10"/>
  <c r="O31" i="10"/>
  <c r="K31" i="10"/>
  <c r="F33" i="10" l="1"/>
  <c r="G33" i="10" s="1"/>
  <c r="L33" i="10"/>
  <c r="J33" i="10"/>
  <c r="H33" i="10"/>
  <c r="D33" i="10"/>
  <c r="N33" i="10"/>
  <c r="O33" i="10" s="1"/>
  <c r="C48" i="10"/>
  <c r="K58" i="10" s="1"/>
  <c r="C44" i="10"/>
  <c r="F48" i="10" l="1"/>
  <c r="P5" i="16" s="1"/>
  <c r="J48" i="10"/>
  <c r="R5" i="16" s="1"/>
  <c r="H48" i="10"/>
  <c r="D48" i="10"/>
  <c r="O5" i="16" s="1"/>
  <c r="N48" i="10"/>
  <c r="T5" i="16" s="1"/>
  <c r="L48" i="10"/>
  <c r="S5" i="16" s="1"/>
  <c r="N5" i="16"/>
  <c r="K33" i="10"/>
  <c r="J44" i="10"/>
  <c r="K44" i="10" s="1"/>
  <c r="M33" i="10"/>
  <c r="L44" i="10"/>
  <c r="M44" i="10" s="1"/>
  <c r="F44" i="10"/>
  <c r="G44" i="10" s="1"/>
  <c r="E33" i="10"/>
  <c r="D44" i="10"/>
  <c r="E44" i="10" s="1"/>
  <c r="I33" i="10"/>
  <c r="E30" i="12" s="1"/>
  <c r="H44" i="10"/>
  <c r="I44" i="10" s="1"/>
  <c r="E45" i="12" s="1"/>
  <c r="N44" i="10"/>
  <c r="O44" i="10" s="1"/>
  <c r="Q5" i="16" l="1"/>
  <c r="K14" i="11"/>
  <c r="M48" i="10"/>
  <c r="G48" i="10"/>
  <c r="O48" i="10"/>
  <c r="I48" i="10"/>
  <c r="E51" i="12" s="1"/>
  <c r="K48" i="10"/>
  <c r="E4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yallard</author>
    <author>CLac</author>
  </authors>
  <commentList>
    <comment ref="N3" authorId="0" shapeId="0" xr:uid="{04807C21-3AF3-4B32-B8B2-698F39BBD0E8}">
      <text>
        <r>
          <rPr>
            <b/>
            <sz val="8"/>
            <color indexed="81"/>
            <rFont val="Tahoma"/>
            <family val="2"/>
          </rPr>
          <t>À transférer dans mensuel Porc onglet Tendance Conv avant d'importer les données</t>
        </r>
      </text>
    </comment>
    <comment ref="N11" authorId="0" shapeId="0" xr:uid="{6E86E710-193B-480A-8D85-0D4F62BBE804}">
      <text>
        <r>
          <rPr>
            <b/>
            <sz val="8"/>
            <color indexed="81"/>
            <rFont val="Tahoma"/>
            <family val="2"/>
          </rPr>
          <t xml:space="preserve">À importer du fichier men$uelPorc, onglet Tendance approprié </t>
        </r>
      </text>
    </comment>
    <comment ref="F18" authorId="1" shapeId="0" xr:uid="{03D30002-B595-4824-BC7E-E4CA8AD754EA}">
      <text>
        <r>
          <rPr>
            <b/>
            <sz val="9"/>
            <color indexed="81"/>
            <rFont val="Tahoma"/>
            <family val="2"/>
          </rPr>
          <t xml:space="preserve">CLac: </t>
        </r>
        <r>
          <rPr>
            <sz val="9"/>
            <color indexed="81"/>
            <rFont val="Tahoma"/>
            <family val="2"/>
          </rPr>
          <t xml:space="preserve"> pondéré par les ventes </t>
        </r>
      </text>
    </comment>
  </commentList>
</comments>
</file>

<file path=xl/sharedStrings.xml><?xml version="1.0" encoding="utf-8"?>
<sst xmlns="http://schemas.openxmlformats.org/spreadsheetml/2006/main" count="212" uniqueCount="130">
  <si>
    <t>Tendance des prix</t>
  </si>
  <si>
    <t>Maïs-grain</t>
  </si>
  <si>
    <t>Tourteau de soja</t>
  </si>
  <si>
    <t>Porc</t>
  </si>
  <si>
    <t>Indice</t>
  </si>
  <si>
    <t>Votre prix</t>
  </si>
  <si>
    <t>Prévision</t>
  </si>
  <si>
    <t>Indexation totale pondérée aliment modèle naisseur-finisseur =</t>
  </si>
  <si>
    <t>$ / kg</t>
  </si>
  <si>
    <t>$/100 kg</t>
  </si>
  <si>
    <t>Moulée «truies»</t>
  </si>
  <si>
    <t>Moulée «porcelets»</t>
  </si>
  <si>
    <t>Moulée «porcs»</t>
  </si>
  <si>
    <t>Outil de prévisions des cotisations ASRA</t>
  </si>
  <si>
    <t>La cotisation ASRA est calculé en tenant compte des compensations des 4 dernières années et de l'année en cours pour le régime.</t>
  </si>
  <si>
    <t>La pondération varie d'une année à l'autre allant de 30 % pour l'année en cours, jusqu'à 10 % il y a 4 ans.</t>
  </si>
  <si>
    <t xml:space="preserve">La cotisation est aussi affectée par le déficit du fonds ASRA et la FADQ peut faire des ajustements minimes annuels afin de tenir compte </t>
  </si>
  <si>
    <t>du contexte et du profit éventuellement à venir dans le FONDS (année en cours)</t>
  </si>
  <si>
    <t>Pondération de la cotisation selon les années:</t>
  </si>
  <si>
    <t>n</t>
  </si>
  <si>
    <t>n-1</t>
  </si>
  <si>
    <t>%</t>
  </si>
  <si>
    <t>n-2</t>
  </si>
  <si>
    <t>n-3</t>
  </si>
  <si>
    <t>n-4</t>
  </si>
  <si>
    <t>Truies</t>
  </si>
  <si>
    <t>Porcs</t>
  </si>
  <si>
    <t>Prév. CDPQ</t>
  </si>
  <si>
    <t>La cotisation représente 1/3 des compensations reçues en moyenne pondérée 5 ans</t>
  </si>
  <si>
    <t>Montant pour éliminer le déficit</t>
  </si>
  <si>
    <t>Ajustement final FADQ</t>
  </si>
  <si>
    <t>variable</t>
  </si>
  <si>
    <t>non-prévisible</t>
  </si>
  <si>
    <t>Cotisations prévisionnelles</t>
  </si>
  <si>
    <t>/100 kg</t>
  </si>
  <si>
    <t>Compensations</t>
  </si>
  <si>
    <t>Année</t>
  </si>
  <si>
    <t>Taux de change utilisés pour les mois estimés</t>
  </si>
  <si>
    <t>$CA pour 1$US</t>
  </si>
  <si>
    <t>initial</t>
  </si>
  <si>
    <t>source FPPQ</t>
  </si>
  <si>
    <t>estimé avec régression</t>
  </si>
  <si>
    <t>Moulées</t>
  </si>
  <si>
    <t>Taux de change</t>
  </si>
  <si>
    <t>Trimestre</t>
  </si>
  <si>
    <t>Période</t>
  </si>
  <si>
    <t>Maïs</t>
  </si>
  <si>
    <t>T soja</t>
  </si>
  <si>
    <t>Pclts</t>
  </si>
  <si>
    <t>Utilisés</t>
  </si>
  <si>
    <t>Moyenne</t>
  </si>
  <si>
    <t>Indice Carburants et propane</t>
  </si>
  <si>
    <t>Compensation ASRA Total Nais-Fin $/100 kg</t>
  </si>
  <si>
    <t>Compensation ASRA  / truie** $</t>
  </si>
  <si>
    <t>Compensation ASRA /100 kg porc** $</t>
  </si>
  <si>
    <t>Indice autres que Carburants, aliments et prix du porcs</t>
  </si>
  <si>
    <t>Final FADQ</t>
  </si>
  <si>
    <t>+ 684 truies</t>
  </si>
  <si>
    <t>+ 1 152 119 kg</t>
  </si>
  <si>
    <t>Cotisation par unité excédentaire</t>
  </si>
  <si>
    <t>Facteur</t>
  </si>
  <si>
    <t xml:space="preserve">Poids de carcasse </t>
  </si>
  <si>
    <t>FADQ estime 2013</t>
  </si>
  <si>
    <t>source AAC (moyenne Moyenne)</t>
  </si>
  <si>
    <t>Réel</t>
  </si>
  <si>
    <t>Prix stabilisé * $/100 kg</t>
  </si>
  <si>
    <t>Revenu stabilisé</t>
  </si>
  <si>
    <t>Agriinvestissement année antérieure /porc</t>
  </si>
  <si>
    <t>AgriInvestissement année courante /porc</t>
  </si>
  <si>
    <t>Revenu stabilisé $/100kg</t>
  </si>
  <si>
    <t>Revenu du marché $/100 kg</t>
  </si>
  <si>
    <t>Prix du porc (indice 100)</t>
  </si>
  <si>
    <t>Total naisseur-finisseur</t>
  </si>
  <si>
    <t>*******************************************************************************************</t>
  </si>
  <si>
    <t>$ / truie</t>
  </si>
  <si>
    <t>$ /100 kg</t>
  </si>
  <si>
    <t>Maternité</t>
  </si>
  <si>
    <t>Annuel</t>
  </si>
  <si>
    <t>Trimestriel</t>
  </si>
  <si>
    <t>Mensuel</t>
  </si>
  <si>
    <t>référence</t>
  </si>
  <si>
    <r>
      <t>COTISATION</t>
    </r>
    <r>
      <rPr>
        <u/>
        <sz val="10"/>
        <rFont val="Arial"/>
        <family val="2"/>
      </rPr>
      <t xml:space="preserve"> (estimée)</t>
    </r>
  </si>
  <si>
    <r>
      <t xml:space="preserve">COMPENSATION </t>
    </r>
    <r>
      <rPr>
        <u/>
        <sz val="10"/>
        <rFont val="Arial"/>
        <family val="2"/>
      </rPr>
      <t>(prévue)</t>
    </r>
  </si>
  <si>
    <t>Compensation</t>
  </si>
  <si>
    <t>Cotisation</t>
  </si>
  <si>
    <t>Engraissement</t>
  </si>
  <si>
    <t xml:space="preserve">    -     $</t>
  </si>
  <si>
    <r>
      <t xml:space="preserve">Note: écart positif = compensation, écart </t>
    </r>
    <r>
      <rPr>
        <i/>
        <sz val="8"/>
        <color indexed="10"/>
        <rFont val="Arial"/>
        <family val="2"/>
      </rPr>
      <t>négatif</t>
    </r>
    <r>
      <rPr>
        <i/>
        <sz val="8"/>
        <rFont val="Arial"/>
        <family val="2"/>
      </rPr>
      <t xml:space="preserve"> = </t>
    </r>
    <r>
      <rPr>
        <i/>
        <sz val="8"/>
        <color indexed="10"/>
        <rFont val="Arial"/>
        <family val="2"/>
      </rPr>
      <t>pas</t>
    </r>
    <r>
      <rPr>
        <i/>
        <sz val="8"/>
        <rFont val="Arial"/>
        <family val="2"/>
      </rPr>
      <t xml:space="preserve"> de compensation</t>
    </r>
  </si>
  <si>
    <t>A)</t>
  </si>
  <si>
    <t>B)</t>
  </si>
  <si>
    <t>Revenu stabilisé ajusté</t>
  </si>
  <si>
    <t>Revenu du marché</t>
  </si>
  <si>
    <t>Agri-investissement (années antérieures)</t>
  </si>
  <si>
    <t>Agri-investissement (année courante)</t>
  </si>
  <si>
    <t>Écart entre le revenu du marché et le revenu stabilisé ajusté (A - B)</t>
  </si>
  <si>
    <t>janvier</t>
  </si>
  <si>
    <t>février</t>
  </si>
  <si>
    <t>mars</t>
  </si>
  <si>
    <t>avril</t>
  </si>
  <si>
    <t>mai</t>
  </si>
  <si>
    <t>juin</t>
  </si>
  <si>
    <t>juillet</t>
  </si>
  <si>
    <t>août</t>
  </si>
  <si>
    <t>septembre</t>
  </si>
  <si>
    <t>octobre</t>
  </si>
  <si>
    <t>novembre</t>
  </si>
  <si>
    <t>décembre</t>
  </si>
  <si>
    <t xml:space="preserve">Note : la prévision du mois courant n’inclut pas les prix réels, </t>
  </si>
  <si>
    <t xml:space="preserve">          même si une partie du mois est déjà écoulée.</t>
  </si>
  <si>
    <t>&lt;= ne pas effacer</t>
  </si>
  <si>
    <t>*Prix de pool réel pondéré du mois</t>
  </si>
  <si>
    <t>*Prix de pool réel pondéré du trimestre</t>
  </si>
  <si>
    <t>La prévision du mois courant n’inclut pas les prix réels, même si une partie du mois est déjà écoulée.</t>
  </si>
  <si>
    <t xml:space="preserve">          * Voir l'onglet "Réductions du prix des porcs" pour plus de détails. </t>
  </si>
  <si>
    <t>Avec réductions</t>
  </si>
  <si>
    <t>$/truie, atelier PCL</t>
  </si>
  <si>
    <t>avec réductions de prix des porcs*</t>
  </si>
  <si>
    <t>Rajustement moyen</t>
  </si>
  <si>
    <r>
      <t>Prévision</t>
    </r>
    <r>
      <rPr>
        <vertAlign val="superscript"/>
        <sz val="9"/>
        <rFont val="Arial"/>
        <family val="2"/>
      </rPr>
      <t>1</t>
    </r>
    <r>
      <rPr>
        <sz val="9"/>
        <rFont val="Arial"/>
        <family val="2"/>
      </rPr>
      <t xml:space="preserve"> 
</t>
    </r>
    <r>
      <rPr>
        <sz val="8.5"/>
        <rFont val="Arial"/>
        <family val="2"/>
      </rPr>
      <t>(avec réductions)</t>
    </r>
  </si>
  <si>
    <t>Indices avec réduction prix du porc</t>
  </si>
  <si>
    <t>6 MOIS 2024</t>
  </si>
  <si>
    <t xml:space="preserve">Réductions du prix des porcs au Québec en vigueur en 2024 et 2025, hypothèse d'application </t>
  </si>
  <si>
    <t xml:space="preserve">Note 1 : Cette colonne estime votre prix rajusté selon les paramètres de la Convention de mise en marché des porcs 2023-2026, à quoi s'ajoute une estimation de réductions appliquées au prix des porcs pour les mois futurs. Consulter l'onglet "Réductions du prix des porcs" pour plus d'informations. </t>
  </si>
  <si>
    <t>*Ces prix des porcs des périodes écoulées sont les prix de pool réels et pondérés par le nombres porcs pour la période concernée des porcs Qualité Québec. Ces prix comprennent les réductions qui prévalaient en 2024, le cas échéant.</t>
  </si>
  <si>
    <t xml:space="preserve"> Compensations ASRA découlant du modèle prévisionnel proposé, avec estimation des réductions du prix des porcs</t>
  </si>
  <si>
    <t>Les résultats de ce tableau proviennent des calculs faits à partir de l'information tirée du modèle 2022 de la FADQ, indexé.</t>
  </si>
  <si>
    <t>$/kg, atelier POR</t>
  </si>
  <si>
    <r>
      <t>ASRA en amputant le prix du porc de 2024 et 2025 des réductions</t>
    </r>
    <r>
      <rPr>
        <sz val="10"/>
        <rFont val="Arial"/>
        <family val="2"/>
      </rPr>
      <t xml:space="preserve"> (veuillez consulter l'onget "Réductions du prix des porcs" pour plus d'informations).</t>
    </r>
  </si>
  <si>
    <r>
      <t xml:space="preserve">Votre prix sans réduction
</t>
    </r>
    <r>
      <rPr>
        <sz val="11"/>
        <rFont val="Arial"/>
        <family val="2"/>
      </rPr>
      <t>(indice 100)</t>
    </r>
  </si>
  <si>
    <t>Contribution totale ASRA, Connue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</si>
</sst>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7" formatCode="#,##0.00\ &quot;$&quot;_);\(#,##0.00\ &quot;$&quot;\)"/>
    <numFmt numFmtId="8" formatCode="#,##0.00\ &quot;$&quot;_);[Red]\(#,##0.00\ &quot;$&quot;\)"/>
    <numFmt numFmtId="44" formatCode="_ * #,##0.00_)\ &quot;$&quot;_ ;_ * \(#,##0.00\)\ &quot;$&quot;_ ;_ * &quot;-&quot;??_)\ &quot;$&quot;_ ;_ @_ "/>
    <numFmt numFmtId="164" formatCode="_ * #,##0_)\ [$$-C0C]_ ;_ * \(#,##0\)\ [$$-C0C]_ ;_ * &quot;-&quot;??_)\ [$$-C0C]_ ;_ @_ "/>
    <numFmt numFmtId="165" formatCode="_ * #,##0.00_)\ [$$-C0C]_ ;_ * \(#,##0.00\)\ [$$-C0C]_ ;_ * &quot;-&quot;??_)\ [$$-C0C]_ ;_ @_ "/>
    <numFmt numFmtId="166" formatCode="0.0%"/>
    <numFmt numFmtId="167" formatCode="_ * #,##0.000_)\ [$$-C0C]_ ;_ * \(#,##0.000\)\ [$$-C0C]_ ;_ * &quot;-&quot;??_)\ [$$-C0C]_ ;_ @_ "/>
    <numFmt numFmtId="168" formatCode="0.000"/>
    <numFmt numFmtId="169" formatCode="#,##0\ [$$-C0C]&quot;/t&quot;"/>
    <numFmt numFmtId="170" formatCode="&quot;Base &quot;0"/>
    <numFmt numFmtId="171" formatCode="#,##0.00\ &quot;$&quot;"/>
    <numFmt numFmtId="172" formatCode="&quot;Année &quot;0"/>
    <numFmt numFmtId="173" formatCode="_-* #,##0.00&quot; $&quot;_-;\-* #,##0.00&quot; $&quot;_-;_-* &quot;-&quot;??&quot; $&quot;_-;_-@_-"/>
    <numFmt numFmtId="174" formatCode="0.0&quot; &quot;%"/>
    <numFmt numFmtId="175" formatCode="#,##0.00_)&quot;$/prc&quot;;\(#,##0.00\)&quot;$/prc&quot;"/>
    <numFmt numFmtId="176" formatCode="#,##0.00_)&quot;$/100kg&quot;;\(#,##0.00\)&quot;$/100kg&quot;"/>
    <numFmt numFmtId="177" formatCode="0.0000"/>
    <numFmt numFmtId="178" formatCode="#,##0.000\ [$$-C0C]&quot;/kg&quot;"/>
    <numFmt numFmtId="179" formatCode="0.0"/>
    <numFmt numFmtId="180" formatCode="_ * #,##0.000_)\ [$$-C0C]_ ;_ * \(#,##0.000\)\ [$$-C0C]_ ;_ * &quot;-&quot;???_)\ [$$-C0C]_ ;_ @_ "/>
    <numFmt numFmtId="181" formatCode="0.00_);[Red]\(0.00\)"/>
    <numFmt numFmtId="182" formatCode="#,##0.0000\ &quot;$&quot;"/>
    <numFmt numFmtId="183" formatCode="#,##0.000\ &quot;$&quot;_);[Red]\(#,##0.000\ &quot;$&quot;\)"/>
    <numFmt numFmtId="184" formatCode="0_);[Red]\(0\)"/>
    <numFmt numFmtId="185" formatCode="0&quot; &quot;%"/>
    <numFmt numFmtId="186" formatCode="_ * #,##0.0_)\ [$$-C0C]_ ;_ * \(#,##0.0\)\ [$$-C0C]_ ;_ * &quot;-&quot;???_)\ [$$-C0C]_ ;_ @_ "/>
    <numFmt numFmtId="187" formatCode="#,##0.000\ [$$-C0C]&quot;*&quot;"/>
    <numFmt numFmtId="188" formatCode="0.0000&quot; &quot;%"/>
    <numFmt numFmtId="189" formatCode="#,##0.000\ [$$-C0C]"/>
    <numFmt numFmtId="190" formatCode="_ * #,##0.000_)\ &quot;$&quot;_ ;_ * \(#,##0.000\)\ &quot;$&quot;_ ;_ * &quot;-&quot;??_)\ &quot;$&quot;_ ;_ @_ "/>
  </numFmts>
  <fonts count="59" x14ac:knownFonts="1">
    <font>
      <sz val="10"/>
      <name val="Arial"/>
      <family val="2"/>
    </font>
    <font>
      <sz val="10"/>
      <name val="Arial"/>
      <family val="2"/>
    </font>
    <font>
      <sz val="8"/>
      <name val="Arial"/>
      <family val="2"/>
    </font>
    <font>
      <sz val="10"/>
      <name val="Arial"/>
      <family val="2"/>
    </font>
    <font>
      <b/>
      <sz val="11"/>
      <color indexed="18"/>
      <name val="Calibri"/>
      <family val="2"/>
    </font>
    <font>
      <sz val="10"/>
      <color indexed="18"/>
      <name val="Arial"/>
      <family val="2"/>
    </font>
    <font>
      <b/>
      <u/>
      <sz val="12"/>
      <name val="Arial"/>
      <family val="2"/>
    </font>
    <font>
      <b/>
      <sz val="10"/>
      <name val="Arial"/>
      <family val="2"/>
    </font>
    <font>
      <b/>
      <u/>
      <sz val="16"/>
      <name val="Arial"/>
      <family val="2"/>
    </font>
    <font>
      <u/>
      <sz val="10"/>
      <name val="Arial"/>
      <family val="2"/>
    </font>
    <font>
      <b/>
      <u/>
      <sz val="10"/>
      <name val="Arial"/>
      <family val="2"/>
    </font>
    <font>
      <sz val="11"/>
      <color indexed="18"/>
      <name val="Calibri"/>
      <family val="2"/>
    </font>
    <font>
      <sz val="12"/>
      <name val="Arial"/>
      <family val="2"/>
    </font>
    <font>
      <i/>
      <sz val="12"/>
      <name val="Arial"/>
      <family val="2"/>
    </font>
    <font>
      <b/>
      <sz val="10"/>
      <color indexed="48"/>
      <name val="Arial"/>
      <family val="2"/>
    </font>
    <font>
      <b/>
      <i/>
      <sz val="12"/>
      <color indexed="17"/>
      <name val="Arial"/>
      <family val="2"/>
    </font>
    <font>
      <b/>
      <sz val="12"/>
      <name val="Arial"/>
      <family val="2"/>
    </font>
    <font>
      <b/>
      <sz val="10"/>
      <color indexed="9"/>
      <name val="Arial"/>
      <family val="2"/>
    </font>
    <font>
      <u/>
      <sz val="10"/>
      <name val="Arial"/>
      <family val="2"/>
    </font>
    <font>
      <sz val="10"/>
      <color indexed="12"/>
      <name val="Arial"/>
      <family val="2"/>
    </font>
    <font>
      <b/>
      <u/>
      <sz val="11"/>
      <name val="Arial"/>
      <family val="2"/>
    </font>
    <font>
      <sz val="10"/>
      <color indexed="12"/>
      <name val="Arial"/>
      <family val="2"/>
    </font>
    <font>
      <sz val="8"/>
      <name val="Arial"/>
      <family val="2"/>
    </font>
    <font>
      <sz val="11"/>
      <name val="Arial"/>
      <family val="2"/>
    </font>
    <font>
      <sz val="11"/>
      <name val="Arial"/>
      <family val="2"/>
    </font>
    <font>
      <u/>
      <sz val="11"/>
      <color indexed="12"/>
      <name val="Arial"/>
      <family val="2"/>
    </font>
    <font>
      <b/>
      <sz val="8"/>
      <color indexed="81"/>
      <name val="Tahoma"/>
      <family val="2"/>
    </font>
    <font>
      <i/>
      <sz val="10"/>
      <name val="Arial"/>
      <family val="2"/>
    </font>
    <font>
      <sz val="9"/>
      <name val="Arial"/>
      <family val="2"/>
    </font>
    <font>
      <b/>
      <i/>
      <sz val="12"/>
      <name val="Arial"/>
      <family val="2"/>
    </font>
    <font>
      <u val="singleAccounting"/>
      <sz val="10"/>
      <name val="Arial"/>
      <family val="2"/>
    </font>
    <font>
      <i/>
      <sz val="8"/>
      <name val="Arial"/>
      <family val="2"/>
    </font>
    <font>
      <i/>
      <u/>
      <sz val="8"/>
      <name val="Arial"/>
      <family val="2"/>
    </font>
    <font>
      <b/>
      <sz val="16"/>
      <name val="Arial"/>
      <family val="2"/>
    </font>
    <font>
      <b/>
      <i/>
      <sz val="11"/>
      <color indexed="17"/>
      <name val="Arial"/>
      <family val="2"/>
    </font>
    <font>
      <b/>
      <sz val="11"/>
      <name val="Arial"/>
      <family val="2"/>
    </font>
    <font>
      <i/>
      <sz val="8"/>
      <color indexed="10"/>
      <name val="Arial"/>
      <family val="2"/>
    </font>
    <font>
      <sz val="10"/>
      <color rgb="FF3366FF"/>
      <name val="Arial"/>
      <family val="2"/>
    </font>
    <font>
      <b/>
      <sz val="10"/>
      <color rgb="FF3366FF"/>
      <name val="Arial"/>
      <family val="2"/>
    </font>
    <font>
      <sz val="12"/>
      <color rgb="FF0070C0"/>
      <name val="Arial"/>
      <family val="2"/>
    </font>
    <font>
      <sz val="11"/>
      <color rgb="FF2542BD"/>
      <name val="Arial"/>
      <family val="2"/>
    </font>
    <font>
      <sz val="10"/>
      <color rgb="FF2542BD"/>
      <name val="Arial"/>
      <family val="2"/>
    </font>
    <font>
      <sz val="10"/>
      <color rgb="FF0070C0"/>
      <name val="Arial"/>
      <family val="2"/>
    </font>
    <font>
      <sz val="10"/>
      <color rgb="FFFF0000"/>
      <name val="Arial"/>
      <family val="2"/>
    </font>
    <font>
      <sz val="9"/>
      <color rgb="FFFF0000"/>
      <name val="Arial"/>
      <family val="2"/>
    </font>
    <font>
      <sz val="9"/>
      <color rgb="FF3366FF"/>
      <name val="Arial"/>
      <family val="2"/>
    </font>
    <font>
      <b/>
      <sz val="8"/>
      <color rgb="FF3366FF"/>
      <name val="Arial"/>
      <family val="2"/>
    </font>
    <font>
      <sz val="12"/>
      <color theme="0"/>
      <name val="Arial"/>
      <family val="2"/>
    </font>
    <font>
      <sz val="10"/>
      <color rgb="FF0000FF"/>
      <name val="Arial"/>
      <family val="2"/>
    </font>
    <font>
      <b/>
      <sz val="11"/>
      <color indexed="12"/>
      <name val="Arial"/>
      <family val="2"/>
    </font>
    <font>
      <vertAlign val="superscript"/>
      <sz val="9"/>
      <name val="Arial"/>
      <family val="2"/>
    </font>
    <font>
      <sz val="9"/>
      <color indexed="81"/>
      <name val="Tahoma"/>
      <family val="2"/>
    </font>
    <font>
      <b/>
      <sz val="9"/>
      <color indexed="81"/>
      <name val="Tahoma"/>
      <family val="2"/>
    </font>
    <font>
      <u/>
      <sz val="10"/>
      <color theme="10"/>
      <name val="Arial"/>
      <family val="2"/>
    </font>
    <font>
      <b/>
      <sz val="10.5"/>
      <color theme="0"/>
      <name val="Arial Narrow"/>
      <family val="2"/>
    </font>
    <font>
      <b/>
      <sz val="10"/>
      <color rgb="FF008000"/>
      <name val="Arial"/>
      <family val="2"/>
    </font>
    <font>
      <sz val="8.5"/>
      <name val="Arial"/>
      <family val="2"/>
    </font>
    <font>
      <strike/>
      <sz val="10"/>
      <name val="Arial"/>
      <family val="2"/>
    </font>
    <font>
      <strike/>
      <u/>
      <sz val="10"/>
      <color theme="10"/>
      <name val="Arial"/>
      <family val="2"/>
    </font>
  </fonts>
  <fills count="27">
    <fill>
      <patternFill patternType="none"/>
    </fill>
    <fill>
      <patternFill patternType="gray125"/>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17"/>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bgColor indexed="64"/>
      </patternFill>
    </fill>
    <fill>
      <patternFill patternType="solid">
        <fgColor theme="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BCE292"/>
        <bgColor indexed="64"/>
      </patternFill>
    </fill>
    <fill>
      <patternFill patternType="solid">
        <fgColor rgb="FF99CCFF"/>
        <bgColor indexed="64"/>
      </patternFill>
    </fill>
    <fill>
      <patternFill patternType="solid">
        <fgColor rgb="FF008000"/>
        <bgColor indexed="64"/>
      </patternFill>
    </fill>
    <fill>
      <patternFill patternType="solid">
        <fgColor theme="0"/>
        <bgColor indexed="64"/>
      </patternFill>
    </fill>
    <fill>
      <patternFill patternType="solid">
        <fgColor theme="8" tint="0.59999389629810485"/>
        <bgColor indexed="64"/>
      </patternFill>
    </fill>
    <fill>
      <patternFill patternType="solid">
        <fgColor rgb="FFFFFF99"/>
        <bgColor indexed="64"/>
      </patternFill>
    </fill>
    <fill>
      <patternFill patternType="solid">
        <fgColor rgb="FF3366FF"/>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top style="double">
        <color indexed="64"/>
      </top>
      <bottom style="thin">
        <color theme="0" tint="-0.499984740745262"/>
      </bottom>
      <diagonal/>
    </border>
    <border>
      <left/>
      <right style="thin">
        <color indexed="64"/>
      </right>
      <top style="double">
        <color indexed="64"/>
      </top>
      <bottom style="thin">
        <color theme="0" tint="-0.499984740745262"/>
      </bottom>
      <diagonal/>
    </border>
    <border>
      <left/>
      <right style="medium">
        <color indexed="64"/>
      </right>
      <top style="double">
        <color indexed="64"/>
      </top>
      <bottom style="thin">
        <color theme="0" tint="-0.499984740745262"/>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style="medium">
        <color indexed="64"/>
      </top>
      <bottom style="thin">
        <color theme="0" tint="-0.499984740745262"/>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5">
    <xf numFmtId="0" fontId="0" fillId="0" borderId="0"/>
    <xf numFmtId="0" fontId="25" fillId="0" borderId="0" applyNumberFormat="0" applyFill="0" applyBorder="0" applyAlignment="0" applyProtection="0">
      <alignment vertical="top"/>
      <protection locked="0"/>
    </xf>
    <xf numFmtId="44" fontId="1" fillId="0" borderId="0" applyFont="0" applyFill="0" applyBorder="0" applyAlignment="0" applyProtection="0"/>
    <xf numFmtId="173" fontId="24" fillId="0" borderId="0" applyFont="0" applyFill="0" applyBorder="0" applyAlignment="0" applyProtection="0"/>
    <xf numFmtId="44" fontId="1" fillId="0" borderId="0" applyFont="0" applyFill="0" applyBorder="0" applyAlignment="0" applyProtection="0"/>
    <xf numFmtId="0" fontId="23" fillId="0" borderId="0"/>
    <xf numFmtId="0" fontId="24" fillId="0" borderId="0"/>
    <xf numFmtId="0" fontId="24" fillId="0" borderId="0"/>
    <xf numFmtId="0" fontId="1" fillId="0" borderId="0"/>
    <xf numFmtId="0" fontId="24" fillId="0" borderId="0"/>
    <xf numFmtId="0" fontId="1"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cellStyleXfs>
  <cellXfs count="408">
    <xf numFmtId="0" fontId="0" fillId="0" borderId="0" xfId="0"/>
    <xf numFmtId="1" fontId="0" fillId="0" borderId="0" xfId="0" applyNumberFormat="1" applyAlignment="1">
      <alignment horizontal="center"/>
    </xf>
    <xf numFmtId="164" fontId="9" fillId="0" borderId="0" xfId="2" applyNumberFormat="1" applyFont="1" applyFill="1" applyBorder="1" applyAlignment="1">
      <alignment horizontal="center"/>
    </xf>
    <xf numFmtId="1" fontId="9" fillId="0" borderId="0" xfId="0" applyNumberFormat="1" applyFont="1" applyAlignment="1">
      <alignment horizontal="center"/>
    </xf>
    <xf numFmtId="0" fontId="3" fillId="0" borderId="0" xfId="0" applyFont="1"/>
    <xf numFmtId="0" fontId="0" fillId="0" borderId="0" xfId="0" applyAlignment="1">
      <alignment horizontal="right"/>
    </xf>
    <xf numFmtId="0" fontId="12" fillId="0" borderId="0" xfId="0" applyFont="1"/>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12" fillId="0" borderId="9" xfId="0" applyFont="1" applyBorder="1"/>
    <xf numFmtId="0" fontId="12" fillId="0" borderId="9" xfId="0" applyFont="1" applyBorder="1" applyAlignment="1">
      <alignment horizontal="center"/>
    </xf>
    <xf numFmtId="0" fontId="13" fillId="0" borderId="0" xfId="0" quotePrefix="1" applyFont="1"/>
    <xf numFmtId="44" fontId="12" fillId="2" borderId="9" xfId="2" applyFont="1" applyFill="1" applyBorder="1"/>
    <xf numFmtId="9" fontId="12" fillId="0" borderId="0" xfId="11" applyFont="1" applyBorder="1" applyAlignment="1">
      <alignment horizontal="center"/>
    </xf>
    <xf numFmtId="9" fontId="12" fillId="0" borderId="7" xfId="11" applyFont="1" applyBorder="1" applyAlignment="1">
      <alignment horizontal="center"/>
    </xf>
    <xf numFmtId="0" fontId="12" fillId="0" borderId="9" xfId="0" quotePrefix="1" applyFont="1" applyBorder="1" applyAlignment="1">
      <alignment horizontal="center"/>
    </xf>
    <xf numFmtId="0" fontId="7" fillId="0" borderId="0" xfId="0" applyFont="1"/>
    <xf numFmtId="1" fontId="0" fillId="3" borderId="0" xfId="0" applyNumberFormat="1" applyFill="1" applyAlignment="1">
      <alignment horizontal="left" shrinkToFit="1"/>
    </xf>
    <xf numFmtId="1" fontId="0" fillId="4" borderId="0" xfId="0" applyNumberFormat="1" applyFill="1" applyAlignment="1">
      <alignment horizontal="left"/>
    </xf>
    <xf numFmtId="0" fontId="17" fillId="5" borderId="15" xfId="0" applyFont="1" applyFill="1" applyBorder="1"/>
    <xf numFmtId="0" fontId="17" fillId="5" borderId="16" xfId="0" applyFont="1" applyFill="1" applyBorder="1"/>
    <xf numFmtId="0" fontId="17" fillId="5" borderId="16" xfId="0" applyFont="1" applyFill="1" applyBorder="1" applyAlignment="1">
      <alignment horizontal="center"/>
    </xf>
    <xf numFmtId="0" fontId="17" fillId="5" borderId="17" xfId="0" applyFont="1" applyFill="1" applyBorder="1" applyAlignment="1">
      <alignment horizontal="center"/>
    </xf>
    <xf numFmtId="0" fontId="17" fillId="5" borderId="18" xfId="0" applyFont="1" applyFill="1" applyBorder="1" applyAlignment="1">
      <alignment horizontal="center" shrinkToFit="1"/>
    </xf>
    <xf numFmtId="0" fontId="18" fillId="0" borderId="0" xfId="0" applyFont="1" applyAlignment="1">
      <alignment horizontal="center"/>
    </xf>
    <xf numFmtId="2" fontId="17" fillId="5" borderId="12" xfId="0" applyNumberFormat="1" applyFont="1" applyFill="1" applyBorder="1" applyAlignment="1">
      <alignment horizontal="center"/>
    </xf>
    <xf numFmtId="2" fontId="17" fillId="5" borderId="19" xfId="0" applyNumberFormat="1" applyFont="1" applyFill="1" applyBorder="1" applyAlignment="1">
      <alignment horizontal="center"/>
    </xf>
    <xf numFmtId="0" fontId="17" fillId="5" borderId="19" xfId="0" applyFont="1" applyFill="1" applyBorder="1" applyAlignment="1">
      <alignment horizontal="center"/>
    </xf>
    <xf numFmtId="0" fontId="17" fillId="5" borderId="20" xfId="0" applyFont="1" applyFill="1" applyBorder="1" applyAlignment="1">
      <alignment horizontal="center"/>
    </xf>
    <xf numFmtId="0" fontId="19" fillId="0" borderId="0" xfId="0" applyFont="1" applyAlignment="1">
      <alignment horizontal="center"/>
    </xf>
    <xf numFmtId="0" fontId="0" fillId="0" borderId="19" xfId="0" applyBorder="1" applyAlignment="1">
      <alignment horizontal="center"/>
    </xf>
    <xf numFmtId="0" fontId="0" fillId="0" borderId="20" xfId="0" applyBorder="1" applyAlignment="1">
      <alignment horizontal="center"/>
    </xf>
    <xf numFmtId="0" fontId="18" fillId="0" borderId="0" xfId="0" applyFont="1" applyAlignment="1">
      <alignment horizontal="center" shrinkToFit="1"/>
    </xf>
    <xf numFmtId="0" fontId="0" fillId="4" borderId="0" xfId="0" applyFill="1"/>
    <xf numFmtId="0" fontId="17" fillId="5" borderId="21" xfId="0" applyFont="1" applyFill="1" applyBorder="1" applyAlignment="1">
      <alignment horizontal="center" shrinkToFit="1"/>
    </xf>
    <xf numFmtId="1" fontId="20" fillId="0" borderId="0" xfId="0" applyNumberFormat="1" applyFont="1" applyAlignment="1">
      <alignment horizontal="center"/>
    </xf>
    <xf numFmtId="2" fontId="21" fillId="0" borderId="0" xfId="0" applyNumberFormat="1" applyFont="1" applyAlignment="1">
      <alignment horizontal="center" shrinkToFit="1"/>
    </xf>
    <xf numFmtId="0" fontId="22" fillId="6" borderId="0" xfId="0" applyFont="1" applyFill="1" applyAlignment="1">
      <alignment horizontal="centerContinuous"/>
    </xf>
    <xf numFmtId="168" fontId="37" fillId="0" borderId="18" xfId="0" applyNumberFormat="1" applyFont="1" applyBorder="1" applyAlignment="1">
      <alignment horizontal="center"/>
    </xf>
    <xf numFmtId="2" fontId="37" fillId="0" borderId="0" xfId="0" applyNumberFormat="1" applyFont="1" applyAlignment="1">
      <alignment horizontal="center"/>
    </xf>
    <xf numFmtId="2" fontId="37" fillId="0" borderId="22" xfId="0" applyNumberFormat="1" applyFont="1" applyBorder="1" applyAlignment="1">
      <alignment horizontal="center"/>
    </xf>
    <xf numFmtId="2" fontId="37" fillId="0" borderId="23" xfId="0" applyNumberFormat="1" applyFont="1" applyBorder="1" applyAlignment="1">
      <alignment horizontal="center"/>
    </xf>
    <xf numFmtId="168" fontId="37" fillId="0" borderId="24" xfId="0" applyNumberFormat="1" applyFont="1" applyBorder="1" applyAlignment="1">
      <alignment horizontal="center"/>
    </xf>
    <xf numFmtId="2" fontId="37" fillId="0" borderId="19" xfId="0" applyNumberFormat="1" applyFont="1" applyBorder="1" applyAlignment="1">
      <alignment horizontal="center"/>
    </xf>
    <xf numFmtId="2" fontId="37" fillId="0" borderId="12" xfId="0" applyNumberFormat="1" applyFont="1" applyBorder="1" applyAlignment="1">
      <alignment horizontal="center"/>
    </xf>
    <xf numFmtId="2" fontId="37" fillId="0" borderId="20" xfId="0" applyNumberFormat="1" applyFont="1" applyBorder="1" applyAlignment="1">
      <alignment horizontal="center"/>
    </xf>
    <xf numFmtId="168" fontId="37" fillId="0" borderId="21" xfId="0" applyNumberFormat="1" applyFont="1" applyBorder="1" applyAlignment="1">
      <alignment horizontal="center"/>
    </xf>
    <xf numFmtId="17" fontId="38" fillId="0" borderId="22" xfId="0" applyNumberFormat="1" applyFont="1" applyBorder="1" applyAlignment="1">
      <alignment horizontal="center"/>
    </xf>
    <xf numFmtId="17" fontId="38" fillId="0" borderId="15" xfId="0" applyNumberFormat="1" applyFont="1" applyBorder="1" applyAlignment="1">
      <alignment horizontal="center"/>
    </xf>
    <xf numFmtId="2" fontId="37" fillId="0" borderId="16" xfId="0" applyNumberFormat="1" applyFont="1" applyBorder="1" applyAlignment="1">
      <alignment horizontal="center"/>
    </xf>
    <xf numFmtId="2" fontId="37" fillId="0" borderId="17" xfId="0" applyNumberFormat="1" applyFont="1" applyBorder="1" applyAlignment="1">
      <alignment horizontal="center"/>
    </xf>
    <xf numFmtId="17" fontId="38" fillId="0" borderId="12" xfId="0" applyNumberFormat="1" applyFont="1" applyBorder="1" applyAlignment="1">
      <alignment horizontal="center"/>
    </xf>
    <xf numFmtId="168" fontId="37" fillId="0" borderId="25" xfId="0" applyNumberFormat="1" applyFont="1" applyBorder="1" applyAlignment="1">
      <alignment horizontal="center"/>
    </xf>
    <xf numFmtId="1" fontId="0" fillId="0" borderId="0" xfId="0" applyNumberFormat="1" applyAlignment="1">
      <alignment horizontal="right"/>
    </xf>
    <xf numFmtId="172" fontId="15" fillId="0" borderId="26" xfId="5" applyNumberFormat="1" applyFont="1" applyBorder="1" applyAlignment="1">
      <alignment horizontal="center" shrinkToFit="1"/>
    </xf>
    <xf numFmtId="0" fontId="0" fillId="0" borderId="8" xfId="0" applyBorder="1"/>
    <xf numFmtId="0" fontId="0" fillId="0" borderId="7" xfId="0" applyBorder="1"/>
    <xf numFmtId="0" fontId="0" fillId="0" borderId="8" xfId="0" applyBorder="1" applyAlignment="1">
      <alignment horizontal="center" vertical="center" shrinkToFit="1"/>
    </xf>
    <xf numFmtId="0" fontId="24" fillId="0" borderId="0" xfId="9" applyAlignment="1">
      <alignment horizontal="right"/>
    </xf>
    <xf numFmtId="44" fontId="39" fillId="0" borderId="9" xfId="2" applyFont="1" applyBorder="1" applyAlignment="1">
      <alignment horizontal="center"/>
    </xf>
    <xf numFmtId="0" fontId="39" fillId="0" borderId="0" xfId="0" applyFont="1"/>
    <xf numFmtId="0" fontId="1" fillId="0" borderId="0" xfId="0" applyFont="1"/>
    <xf numFmtId="0" fontId="1" fillId="0" borderId="0" xfId="0" applyFont="1" applyAlignment="1">
      <alignment horizontal="right"/>
    </xf>
    <xf numFmtId="1" fontId="0" fillId="7" borderId="0" xfId="0" applyNumberFormat="1" applyFill="1" applyAlignment="1">
      <alignment horizontal="center"/>
    </xf>
    <xf numFmtId="2" fontId="40" fillId="0" borderId="0" xfId="0" applyNumberFormat="1" applyFont="1" applyAlignment="1">
      <alignment horizontal="center"/>
    </xf>
    <xf numFmtId="171" fontId="41" fillId="0" borderId="0" xfId="2" applyNumberFormat="1" applyFont="1" applyBorder="1" applyAlignment="1">
      <alignment horizontal="center"/>
    </xf>
    <xf numFmtId="171" fontId="41" fillId="0" borderId="0" xfId="2" applyNumberFormat="1" applyFont="1" applyFill="1" applyBorder="1" applyAlignment="1">
      <alignment horizontal="center"/>
    </xf>
    <xf numFmtId="9" fontId="41" fillId="0" borderId="0" xfId="12" applyFont="1" applyAlignment="1">
      <alignment horizontal="center"/>
    </xf>
    <xf numFmtId="44" fontId="39" fillId="11" borderId="9" xfId="2" applyFont="1" applyFill="1" applyBorder="1"/>
    <xf numFmtId="175" fontId="39" fillId="11" borderId="9" xfId="2" applyNumberFormat="1" applyFont="1" applyFill="1" applyBorder="1" applyAlignment="1">
      <alignment shrinkToFit="1"/>
    </xf>
    <xf numFmtId="176" fontId="39" fillId="11" borderId="9" xfId="2" applyNumberFormat="1" applyFont="1" applyFill="1" applyBorder="1" applyAlignment="1">
      <alignment shrinkToFit="1"/>
    </xf>
    <xf numFmtId="0" fontId="0" fillId="0" borderId="27" xfId="0" quotePrefix="1" applyBorder="1" applyAlignment="1">
      <alignment horizontal="centerContinuous"/>
    </xf>
    <xf numFmtId="0" fontId="12" fillId="0" borderId="28" xfId="0" applyFont="1" applyBorder="1" applyAlignment="1">
      <alignment horizontal="centerContinuous"/>
    </xf>
    <xf numFmtId="0" fontId="0" fillId="0" borderId="27" xfId="0" applyBorder="1" applyAlignment="1">
      <alignment horizontal="centerContinuous"/>
    </xf>
    <xf numFmtId="0" fontId="12" fillId="0" borderId="29" xfId="0" applyFont="1" applyBorder="1" applyAlignment="1">
      <alignment horizontal="centerContinuous"/>
    </xf>
    <xf numFmtId="0" fontId="12" fillId="0" borderId="30" xfId="0" applyFont="1" applyBorder="1" applyAlignment="1">
      <alignment horizontal="center"/>
    </xf>
    <xf numFmtId="0" fontId="27" fillId="0" borderId="31" xfId="0" quotePrefix="1" applyFont="1" applyBorder="1" applyAlignment="1">
      <alignment horizontal="center" vertical="center"/>
    </xf>
    <xf numFmtId="0" fontId="12" fillId="0" borderId="30" xfId="0" quotePrefix="1" applyFont="1" applyBorder="1" applyAlignment="1">
      <alignment horizontal="center"/>
    </xf>
    <xf numFmtId="7" fontId="42" fillId="11" borderId="32" xfId="2" applyNumberFormat="1" applyFont="1" applyFill="1" applyBorder="1" applyAlignment="1">
      <alignment horizontal="center"/>
    </xf>
    <xf numFmtId="7" fontId="42" fillId="11" borderId="32" xfId="2" applyNumberFormat="1" applyFont="1" applyFill="1" applyBorder="1" applyAlignment="1">
      <alignment horizontal="center" shrinkToFit="1"/>
    </xf>
    <xf numFmtId="177" fontId="27" fillId="0" borderId="33" xfId="0" applyNumberFormat="1" applyFont="1" applyBorder="1" applyAlignment="1">
      <alignment horizontal="center"/>
    </xf>
    <xf numFmtId="7" fontId="42" fillId="11" borderId="34" xfId="2" applyNumberFormat="1" applyFont="1" applyFill="1" applyBorder="1" applyAlignment="1">
      <alignment horizontal="center"/>
    </xf>
    <xf numFmtId="177" fontId="27" fillId="0" borderId="35" xfId="0" applyNumberFormat="1" applyFont="1" applyBorder="1" applyAlignment="1">
      <alignment horizontal="center"/>
    </xf>
    <xf numFmtId="7" fontId="42" fillId="11" borderId="34" xfId="2" applyNumberFormat="1" applyFont="1" applyFill="1" applyBorder="1" applyAlignment="1">
      <alignment horizontal="center" shrinkToFit="1"/>
    </xf>
    <xf numFmtId="7" fontId="42" fillId="0" borderId="32" xfId="2" applyNumberFormat="1" applyFont="1" applyFill="1" applyBorder="1" applyAlignment="1">
      <alignment horizontal="center"/>
    </xf>
    <xf numFmtId="7" fontId="42" fillId="0" borderId="32" xfId="2" applyNumberFormat="1" applyFont="1" applyFill="1" applyBorder="1" applyAlignment="1">
      <alignment horizontal="center" shrinkToFit="1"/>
    </xf>
    <xf numFmtId="9" fontId="28" fillId="0" borderId="0" xfId="11" applyFont="1" applyAlignment="1">
      <alignment horizontal="center"/>
    </xf>
    <xf numFmtId="7" fontId="43" fillId="11" borderId="32" xfId="2" applyNumberFormat="1" applyFont="1" applyFill="1" applyBorder="1" applyAlignment="1">
      <alignment horizontal="center"/>
    </xf>
    <xf numFmtId="9" fontId="44" fillId="0" borderId="0" xfId="11" applyFont="1" applyAlignment="1">
      <alignment horizontal="center"/>
    </xf>
    <xf numFmtId="0" fontId="12" fillId="0" borderId="0" xfId="0" applyFont="1" applyAlignment="1">
      <alignment horizontal="right"/>
    </xf>
    <xf numFmtId="44" fontId="12" fillId="0" borderId="0" xfId="0" applyNumberFormat="1" applyFont="1"/>
    <xf numFmtId="170" fontId="38" fillId="0" borderId="36" xfId="0" applyNumberFormat="1" applyFont="1" applyBorder="1" applyAlignment="1">
      <alignment horizontal="center"/>
    </xf>
    <xf numFmtId="2" fontId="45" fillId="3" borderId="37" xfId="0" applyNumberFormat="1" applyFont="1" applyFill="1" applyBorder="1" applyAlignment="1">
      <alignment horizontal="center"/>
    </xf>
    <xf numFmtId="2" fontId="45" fillId="4" borderId="36" xfId="0" applyNumberFormat="1" applyFont="1" applyFill="1" applyBorder="1" applyAlignment="1">
      <alignment horizontal="center"/>
    </xf>
    <xf numFmtId="2" fontId="45" fillId="4" borderId="37" xfId="0" applyNumberFormat="1" applyFont="1" applyFill="1" applyBorder="1" applyAlignment="1">
      <alignment horizontal="center"/>
    </xf>
    <xf numFmtId="2" fontId="45" fillId="4" borderId="38" xfId="0" applyNumberFormat="1" applyFont="1" applyFill="1" applyBorder="1" applyAlignment="1">
      <alignment horizontal="center"/>
    </xf>
    <xf numFmtId="0" fontId="0" fillId="0" borderId="19" xfId="0" applyBorder="1"/>
    <xf numFmtId="0" fontId="0" fillId="0" borderId="19" xfId="0" applyBorder="1" applyAlignment="1">
      <alignment horizontal="right"/>
    </xf>
    <xf numFmtId="0" fontId="0" fillId="12" borderId="37" xfId="0" applyFill="1" applyBorder="1"/>
    <xf numFmtId="0" fontId="0" fillId="12" borderId="37" xfId="0" applyFill="1" applyBorder="1" applyAlignment="1">
      <alignment horizontal="right"/>
    </xf>
    <xf numFmtId="1" fontId="46" fillId="12" borderId="36" xfId="0" applyNumberFormat="1" applyFont="1" applyFill="1" applyBorder="1" applyAlignment="1">
      <alignment horizontal="center"/>
    </xf>
    <xf numFmtId="44" fontId="12" fillId="0" borderId="0" xfId="0" applyNumberFormat="1" applyFont="1" applyAlignment="1">
      <alignment horizontal="center"/>
    </xf>
    <xf numFmtId="0" fontId="12" fillId="0" borderId="0" xfId="0" applyFont="1" applyAlignment="1">
      <alignment horizontal="right" vertical="center"/>
    </xf>
    <xf numFmtId="44" fontId="47" fillId="8" borderId="9" xfId="2" applyFont="1" applyFill="1" applyBorder="1"/>
    <xf numFmtId="176" fontId="47" fillId="8" borderId="9" xfId="2" applyNumberFormat="1" applyFont="1" applyFill="1" applyBorder="1" applyAlignment="1">
      <alignment shrinkToFit="1"/>
    </xf>
    <xf numFmtId="44" fontId="12" fillId="11" borderId="0" xfId="0" applyNumberFormat="1" applyFont="1" applyFill="1"/>
    <xf numFmtId="15" fontId="0" fillId="0" borderId="0" xfId="0" applyNumberFormat="1" applyAlignment="1">
      <alignment horizontal="center"/>
    </xf>
    <xf numFmtId="179" fontId="0" fillId="0" borderId="0" xfId="0" applyNumberFormat="1" applyAlignment="1">
      <alignment horizontal="center"/>
    </xf>
    <xf numFmtId="2" fontId="41" fillId="0" borderId="0" xfId="0" applyNumberFormat="1" applyFont="1" applyAlignment="1">
      <alignment horizontal="center" shrinkToFit="1"/>
    </xf>
    <xf numFmtId="177" fontId="41" fillId="0" borderId="0" xfId="0" applyNumberFormat="1" applyFont="1" applyAlignment="1">
      <alignment horizontal="center" shrinkToFit="1"/>
    </xf>
    <xf numFmtId="0" fontId="23" fillId="0" borderId="0" xfId="9" applyFont="1" applyAlignment="1">
      <alignment horizontal="right"/>
    </xf>
    <xf numFmtId="166" fontId="7" fillId="0" borderId="0" xfId="11" applyNumberFormat="1" applyFont="1" applyFill="1" applyBorder="1" applyAlignment="1">
      <alignment horizontal="left"/>
    </xf>
    <xf numFmtId="1" fontId="0" fillId="0" borderId="0" xfId="0" applyNumberFormat="1" applyAlignment="1">
      <alignment horizontal="left"/>
    </xf>
    <xf numFmtId="4" fontId="48" fillId="0" borderId="0" xfId="2" applyNumberFormat="1" applyFont="1" applyFill="1" applyBorder="1" applyAlignment="1">
      <alignment horizontal="center"/>
    </xf>
    <xf numFmtId="4" fontId="48" fillId="0" borderId="0" xfId="2" quotePrefix="1" applyNumberFormat="1" applyFont="1" applyFill="1" applyBorder="1" applyAlignment="1">
      <alignment horizontal="center"/>
    </xf>
    <xf numFmtId="4" fontId="48" fillId="13" borderId="0" xfId="2" applyNumberFormat="1" applyFont="1" applyFill="1" applyBorder="1" applyAlignment="1">
      <alignment horizontal="center"/>
    </xf>
    <xf numFmtId="1" fontId="16" fillId="0" borderId="0" xfId="2" applyNumberFormat="1" applyFont="1" applyFill="1" applyBorder="1" applyAlignment="1">
      <alignment horizontal="center"/>
    </xf>
    <xf numFmtId="1" fontId="0" fillId="0" borderId="0" xfId="0" applyNumberFormat="1" applyAlignment="1">
      <alignment horizontal="right" vertical="center"/>
    </xf>
    <xf numFmtId="164" fontId="9" fillId="0" borderId="0" xfId="2" applyNumberFormat="1" applyFont="1" applyFill="1" applyBorder="1" applyAlignment="1">
      <alignment horizontal="centerContinuous"/>
    </xf>
    <xf numFmtId="1" fontId="9" fillId="0" borderId="0" xfId="0" applyNumberFormat="1" applyFont="1" applyAlignment="1">
      <alignment horizontal="centerContinuous"/>
    </xf>
    <xf numFmtId="164" fontId="10" fillId="0" borderId="0" xfId="2" applyNumberFormat="1" applyFont="1" applyFill="1" applyBorder="1" applyAlignment="1">
      <alignment horizontal="centerContinuous"/>
    </xf>
    <xf numFmtId="166" fontId="10" fillId="0" borderId="0" xfId="11" applyNumberFormat="1" applyFont="1" applyFill="1" applyBorder="1" applyAlignment="1">
      <alignment horizontal="centerContinuous"/>
    </xf>
    <xf numFmtId="1" fontId="10" fillId="0" borderId="0" xfId="0" applyNumberFormat="1" applyFont="1" applyAlignment="1">
      <alignment horizontal="centerContinuous"/>
    </xf>
    <xf numFmtId="1" fontId="0" fillId="0" borderId="0" xfId="0" applyNumberFormat="1" applyAlignment="1">
      <alignment horizontal="centerContinuous"/>
    </xf>
    <xf numFmtId="1" fontId="7" fillId="0" borderId="0" xfId="0" applyNumberFormat="1" applyFont="1" applyAlignment="1">
      <alignment horizontal="right" vertical="center"/>
    </xf>
    <xf numFmtId="1" fontId="7" fillId="0" borderId="0" xfId="0" applyNumberFormat="1" applyFont="1" applyAlignment="1">
      <alignment horizontal="right"/>
    </xf>
    <xf numFmtId="1" fontId="9" fillId="0" borderId="0" xfId="0" applyNumberFormat="1" applyFont="1" applyAlignment="1">
      <alignment horizontal="right"/>
    </xf>
    <xf numFmtId="1" fontId="6" fillId="0" borderId="0" xfId="2" applyNumberFormat="1" applyFont="1" applyFill="1" applyBorder="1" applyAlignment="1">
      <alignment horizontal="center" vertical="center"/>
    </xf>
    <xf numFmtId="164" fontId="0" fillId="0" borderId="0" xfId="2" applyNumberFormat="1" applyFont="1" applyFill="1" applyBorder="1" applyAlignment="1">
      <alignment horizontal="centerContinuous"/>
    </xf>
    <xf numFmtId="164" fontId="7" fillId="0" borderId="0" xfId="2" applyNumberFormat="1" applyFont="1" applyFill="1" applyBorder="1" applyAlignment="1">
      <alignment horizontal="centerContinuous"/>
    </xf>
    <xf numFmtId="166" fontId="7" fillId="0" borderId="0" xfId="11" applyNumberFormat="1" applyFont="1" applyFill="1" applyBorder="1" applyAlignment="1">
      <alignment horizontal="centerContinuous"/>
    </xf>
    <xf numFmtId="1" fontId="7" fillId="0" borderId="0" xfId="0" applyNumberFormat="1" applyFont="1" applyAlignment="1">
      <alignment horizontal="centerContinuous"/>
    </xf>
    <xf numFmtId="1" fontId="16" fillId="0" borderId="42" xfId="0" applyNumberFormat="1" applyFont="1" applyBorder="1" applyAlignment="1">
      <alignment horizontal="center" vertical="center" wrapText="1"/>
    </xf>
    <xf numFmtId="0" fontId="0" fillId="14" borderId="0" xfId="0" applyFill="1"/>
    <xf numFmtId="0" fontId="12" fillId="15" borderId="0" xfId="0" quotePrefix="1" applyFont="1" applyFill="1"/>
    <xf numFmtId="171" fontId="7" fillId="0" borderId="2" xfId="2" applyNumberFormat="1" applyFont="1" applyFill="1" applyBorder="1" applyAlignment="1">
      <alignment horizontal="center"/>
    </xf>
    <xf numFmtId="171" fontId="7" fillId="0" borderId="7" xfId="2" applyNumberFormat="1" applyFont="1" applyFill="1" applyBorder="1" applyAlignment="1">
      <alignment horizontal="center"/>
    </xf>
    <xf numFmtId="182" fontId="7" fillId="0" borderId="0" xfId="2" applyNumberFormat="1" applyFont="1" applyFill="1" applyBorder="1" applyAlignment="1">
      <alignment horizontal="center" vertical="center"/>
    </xf>
    <xf numFmtId="8" fontId="1" fillId="0" borderId="0" xfId="2" applyNumberFormat="1" applyFont="1" applyFill="1" applyBorder="1" applyAlignment="1">
      <alignment horizontal="center" vertical="center"/>
    </xf>
    <xf numFmtId="8" fontId="1" fillId="0" borderId="0" xfId="2" applyNumberFormat="1" applyFont="1" applyFill="1" applyBorder="1" applyAlignment="1">
      <alignment horizontal="center"/>
    </xf>
    <xf numFmtId="8" fontId="30" fillId="0" borderId="0" xfId="2" applyNumberFormat="1" applyFont="1" applyFill="1" applyBorder="1" applyAlignment="1">
      <alignment horizontal="center"/>
    </xf>
    <xf numFmtId="8" fontId="7" fillId="0" borderId="0" xfId="2" applyNumberFormat="1" applyFont="1" applyFill="1" applyBorder="1" applyAlignment="1">
      <alignment horizontal="center" vertical="center"/>
    </xf>
    <xf numFmtId="8" fontId="7" fillId="0" borderId="0" xfId="2" applyNumberFormat="1" applyFont="1" applyFill="1" applyBorder="1" applyAlignment="1">
      <alignment horizontal="center"/>
    </xf>
    <xf numFmtId="183" fontId="1" fillId="0" borderId="0" xfId="2" applyNumberFormat="1" applyFont="1" applyFill="1" applyBorder="1" applyAlignment="1">
      <alignment horizontal="center"/>
    </xf>
    <xf numFmtId="2" fontId="0" fillId="0" borderId="9" xfId="0" applyNumberFormat="1" applyBorder="1" applyAlignment="1">
      <alignment horizontal="center" vertical="center" shrinkToFit="1"/>
    </xf>
    <xf numFmtId="2" fontId="0" fillId="0" borderId="50" xfId="0" applyNumberFormat="1" applyBorder="1" applyAlignment="1">
      <alignment horizontal="center" vertical="center" shrinkToFit="1"/>
    </xf>
    <xf numFmtId="2" fontId="0" fillId="0" borderId="8" xfId="0" applyNumberFormat="1" applyBorder="1" applyAlignment="1">
      <alignment horizontal="center" vertical="center" shrinkToFit="1"/>
    </xf>
    <xf numFmtId="0" fontId="0" fillId="16" borderId="0" xfId="0" applyFill="1"/>
    <xf numFmtId="0" fontId="0" fillId="16" borderId="0" xfId="0" applyFill="1" applyAlignment="1">
      <alignment horizontal="right"/>
    </xf>
    <xf numFmtId="164" fontId="1" fillId="16" borderId="0" xfId="2" applyNumberFormat="1" applyFont="1" applyFill="1" applyBorder="1" applyAlignment="1">
      <alignment horizontal="center"/>
    </xf>
    <xf numFmtId="0" fontId="7" fillId="16" borderId="0" xfId="0" applyFont="1" applyFill="1"/>
    <xf numFmtId="0" fontId="3" fillId="16" borderId="0" xfId="0" applyFont="1" applyFill="1"/>
    <xf numFmtId="0" fontId="4" fillId="0" borderId="0" xfId="0" applyFont="1" applyAlignment="1">
      <alignment horizontal="right"/>
    </xf>
    <xf numFmtId="0" fontId="5" fillId="0" borderId="0" xfId="0" applyFont="1" applyAlignment="1">
      <alignment horizontal="right"/>
    </xf>
    <xf numFmtId="0" fontId="11" fillId="0" borderId="0" xfId="0" applyFont="1" applyAlignment="1">
      <alignment horizontal="right"/>
    </xf>
    <xf numFmtId="17" fontId="8" fillId="0" borderId="0" xfId="0" applyNumberFormat="1" applyFont="1" applyAlignment="1">
      <alignment horizontal="left"/>
    </xf>
    <xf numFmtId="0" fontId="31" fillId="0" borderId="0" xfId="0" applyFont="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81" fontId="9" fillId="0" borderId="0" xfId="0" applyNumberFormat="1" applyFont="1" applyAlignment="1">
      <alignment horizontal="center"/>
    </xf>
    <xf numFmtId="0" fontId="31" fillId="0" borderId="0" xfId="0" applyFont="1" applyAlignment="1">
      <alignment horizontal="right"/>
    </xf>
    <xf numFmtId="1" fontId="31" fillId="0" borderId="0" xfId="0" applyNumberFormat="1" applyFont="1" applyAlignment="1">
      <alignment horizontal="right" vertical="top"/>
    </xf>
    <xf numFmtId="17" fontId="33" fillId="0" borderId="0" xfId="0" applyNumberFormat="1" applyFont="1" applyAlignment="1">
      <alignment horizontal="centerContinuous"/>
    </xf>
    <xf numFmtId="0" fontId="10" fillId="0" borderId="0" xfId="0" applyFont="1" applyAlignment="1">
      <alignment horizontal="right" vertical="center"/>
    </xf>
    <xf numFmtId="0" fontId="7" fillId="0" borderId="1" xfId="0" applyFont="1" applyBorder="1"/>
    <xf numFmtId="0" fontId="7" fillId="0" borderId="2" xfId="0" applyFont="1" applyBorder="1"/>
    <xf numFmtId="0" fontId="7" fillId="0" borderId="2" xfId="0" applyFont="1" applyBorder="1" applyAlignment="1">
      <alignment horizontal="right"/>
    </xf>
    <xf numFmtId="0" fontId="31" fillId="0" borderId="2" xfId="0" applyFont="1" applyBorder="1" applyAlignment="1">
      <alignment horizontal="right"/>
    </xf>
    <xf numFmtId="0" fontId="7" fillId="0" borderId="3" xfId="0" applyFont="1" applyBorder="1"/>
    <xf numFmtId="0" fontId="0" fillId="0" borderId="4" xfId="0" applyBorder="1"/>
    <xf numFmtId="0" fontId="0" fillId="0" borderId="5" xfId="0" applyBorder="1"/>
    <xf numFmtId="0" fontId="7" fillId="0" borderId="4" xfId="0" applyFont="1" applyBorder="1"/>
    <xf numFmtId="0" fontId="31" fillId="0" borderId="0" xfId="0" quotePrefix="1" applyFont="1" applyAlignment="1">
      <alignment horizontal="right" vertical="center"/>
    </xf>
    <xf numFmtId="0" fontId="7" fillId="0" borderId="5" xfId="0" applyFont="1" applyBorder="1"/>
    <xf numFmtId="0" fontId="7" fillId="0" borderId="6" xfId="0" applyFont="1" applyBorder="1"/>
    <xf numFmtId="0" fontId="7" fillId="0" borderId="7" xfId="0" applyFont="1" applyBorder="1"/>
    <xf numFmtId="0" fontId="7" fillId="0" borderId="7" xfId="0" applyFont="1" applyBorder="1" applyAlignment="1">
      <alignment horizontal="right"/>
    </xf>
    <xf numFmtId="0" fontId="31" fillId="0" borderId="7" xfId="0" applyFont="1" applyBorder="1" applyAlignment="1">
      <alignment horizontal="right"/>
    </xf>
    <xf numFmtId="0" fontId="7" fillId="0" borderId="8" xfId="0" applyFont="1" applyBorder="1"/>
    <xf numFmtId="0" fontId="0" fillId="11" borderId="0" xfId="0" applyFill="1"/>
    <xf numFmtId="0" fontId="0" fillId="11" borderId="7" xfId="0" applyFill="1" applyBorder="1"/>
    <xf numFmtId="0" fontId="7" fillId="0" borderId="0" xfId="0" applyFont="1" applyAlignment="1">
      <alignment horizontal="centerContinuous"/>
    </xf>
    <xf numFmtId="0" fontId="0" fillId="0" borderId="0" xfId="0" applyAlignment="1">
      <alignment horizontal="centerContinuous"/>
    </xf>
    <xf numFmtId="0" fontId="0" fillId="0" borderId="1" xfId="0" applyBorder="1"/>
    <xf numFmtId="0" fontId="0" fillId="0" borderId="2" xfId="0" applyBorder="1"/>
    <xf numFmtId="0" fontId="0" fillId="0" borderId="3" xfId="0" applyBorder="1"/>
    <xf numFmtId="0" fontId="7" fillId="0" borderId="79" xfId="0" applyFont="1" applyBorder="1"/>
    <xf numFmtId="0" fontId="7" fillId="0" borderId="80" xfId="0" applyFont="1" applyBorder="1"/>
    <xf numFmtId="0" fontId="7" fillId="0" borderId="80" xfId="0" applyFont="1" applyBorder="1" applyAlignment="1">
      <alignment horizontal="right" vertical="top"/>
    </xf>
    <xf numFmtId="0" fontId="31" fillId="0" borderId="80" xfId="0" applyFont="1" applyBorder="1" applyAlignment="1">
      <alignment horizontal="right" wrapText="1"/>
    </xf>
    <xf numFmtId="171" fontId="7" fillId="0" borderId="80" xfId="2" applyNumberFormat="1" applyFont="1" applyFill="1" applyBorder="1" applyAlignment="1">
      <alignment horizontal="center" vertical="top"/>
    </xf>
    <xf numFmtId="0" fontId="7" fillId="0" borderId="81" xfId="0" applyFont="1" applyBorder="1"/>
    <xf numFmtId="184" fontId="6" fillId="0" borderId="0" xfId="0" applyNumberFormat="1" applyFont="1" applyAlignment="1">
      <alignment horizontal="center" vertical="center"/>
    </xf>
    <xf numFmtId="0" fontId="0" fillId="0" borderId="6" xfId="0" applyBorder="1"/>
    <xf numFmtId="165" fontId="9" fillId="0" borderId="0" xfId="2" applyNumberFormat="1" applyFont="1" applyFill="1" applyBorder="1" applyAlignment="1">
      <alignment horizontal="center"/>
    </xf>
    <xf numFmtId="168" fontId="0" fillId="0" borderId="0" xfId="0" applyNumberFormat="1"/>
    <xf numFmtId="2" fontId="0" fillId="0" borderId="0" xfId="0" applyNumberFormat="1"/>
    <xf numFmtId="9" fontId="9" fillId="0" borderId="0" xfId="0" applyNumberFormat="1" applyFont="1" applyAlignment="1">
      <alignment horizontal="center"/>
    </xf>
    <xf numFmtId="0" fontId="0" fillId="0" borderId="0" xfId="0" applyAlignment="1">
      <alignment horizontal="right" indent="2"/>
    </xf>
    <xf numFmtId="0" fontId="0" fillId="0" borderId="0" xfId="0" applyAlignment="1">
      <alignment horizontal="center"/>
    </xf>
    <xf numFmtId="1" fontId="16" fillId="0" borderId="87" xfId="0" applyNumberFormat="1" applyFont="1" applyBorder="1" applyAlignment="1">
      <alignment horizontal="center" vertical="center" wrapText="1"/>
    </xf>
    <xf numFmtId="17" fontId="7" fillId="0" borderId="90" xfId="0" applyNumberFormat="1" applyFont="1" applyBorder="1" applyAlignment="1">
      <alignment horizontal="center" wrapText="1"/>
    </xf>
    <xf numFmtId="17" fontId="7" fillId="0" borderId="60" xfId="0" applyNumberFormat="1" applyFont="1" applyBorder="1" applyAlignment="1">
      <alignment horizontal="center" wrapText="1"/>
    </xf>
    <xf numFmtId="17" fontId="7" fillId="0" borderId="93" xfId="0" applyNumberFormat="1" applyFont="1" applyBorder="1" applyAlignment="1">
      <alignment horizontal="center" wrapText="1"/>
    </xf>
    <xf numFmtId="17" fontId="14" fillId="0" borderId="93" xfId="0" applyNumberFormat="1" applyFont="1" applyBorder="1" applyAlignment="1">
      <alignment horizontal="center" wrapText="1"/>
    </xf>
    <xf numFmtId="17" fontId="14" fillId="0" borderId="90" xfId="0" applyNumberFormat="1" applyFont="1" applyBorder="1" applyAlignment="1">
      <alignment horizontal="center" wrapText="1"/>
    </xf>
    <xf numFmtId="17" fontId="14" fillId="0" borderId="60" xfId="0" applyNumberFormat="1" applyFont="1" applyBorder="1" applyAlignment="1">
      <alignment horizontal="center" wrapText="1"/>
    </xf>
    <xf numFmtId="1" fontId="16" fillId="0" borderId="61" xfId="0" applyNumberFormat="1" applyFont="1" applyBorder="1" applyAlignment="1">
      <alignment horizontal="center" vertical="center" wrapText="1"/>
    </xf>
    <xf numFmtId="172" fontId="34" fillId="0" borderId="95" xfId="0" applyNumberFormat="1" applyFont="1" applyBorder="1" applyAlignment="1">
      <alignment horizontal="center" vertical="center" wrapText="1" shrinkToFit="1"/>
    </xf>
    <xf numFmtId="185" fontId="0" fillId="0" borderId="0" xfId="0" applyNumberFormat="1"/>
    <xf numFmtId="1" fontId="2" fillId="0" borderId="0" xfId="0" applyNumberFormat="1" applyFont="1" applyAlignment="1">
      <alignment horizontal="left" vertical="center"/>
    </xf>
    <xf numFmtId="165" fontId="1" fillId="16" borderId="0" xfId="2" applyNumberFormat="1" applyFont="1" applyFill="1" applyBorder="1" applyAlignment="1">
      <alignment horizontal="center"/>
    </xf>
    <xf numFmtId="177" fontId="49" fillId="18" borderId="0" xfId="0" applyNumberFormat="1" applyFont="1" applyFill="1" applyAlignment="1">
      <alignment horizontal="center"/>
    </xf>
    <xf numFmtId="177" fontId="49" fillId="18" borderId="0" xfId="0" applyNumberFormat="1" applyFont="1" applyFill="1" applyAlignment="1">
      <alignment horizontal="left"/>
    </xf>
    <xf numFmtId="167" fontId="3" fillId="0" borderId="91" xfId="2" applyNumberFormat="1" applyFont="1" applyFill="1" applyBorder="1" applyAlignment="1">
      <alignment horizontal="center" shrinkToFit="1"/>
    </xf>
    <xf numFmtId="0" fontId="0" fillId="19" borderId="0" xfId="0" applyFill="1"/>
    <xf numFmtId="164" fontId="1" fillId="20" borderId="47" xfId="2" applyNumberFormat="1" applyFont="1" applyFill="1" applyBorder="1" applyAlignment="1" applyProtection="1">
      <alignment horizontal="center" vertical="center" wrapText="1" shrinkToFit="1"/>
    </xf>
    <xf numFmtId="164" fontId="1" fillId="20" borderId="48" xfId="2" applyNumberFormat="1" applyFont="1" applyFill="1" applyBorder="1" applyAlignment="1" applyProtection="1">
      <alignment horizontal="center" vertical="center" wrapText="1" shrinkToFit="1"/>
    </xf>
    <xf numFmtId="0" fontId="7" fillId="0" borderId="0" xfId="0" applyFont="1" applyAlignment="1">
      <alignment horizontal="left"/>
    </xf>
    <xf numFmtId="0" fontId="53" fillId="16" borderId="0" xfId="14" applyFill="1"/>
    <xf numFmtId="0" fontId="43" fillId="0" borderId="0" xfId="0" applyFont="1"/>
    <xf numFmtId="2" fontId="29" fillId="0" borderId="39" xfId="5" applyNumberFormat="1" applyFont="1" applyBorder="1" applyAlignment="1">
      <alignment horizontal="center"/>
    </xf>
    <xf numFmtId="2" fontId="29" fillId="0" borderId="40" xfId="5" applyNumberFormat="1" applyFont="1" applyBorder="1" applyAlignment="1">
      <alignment horizontal="center"/>
    </xf>
    <xf numFmtId="2" fontId="29" fillId="0" borderId="41" xfId="5" applyNumberFormat="1" applyFont="1" applyBorder="1" applyAlignment="1">
      <alignment horizontal="center"/>
    </xf>
    <xf numFmtId="17" fontId="20" fillId="0" borderId="0" xfId="0" applyNumberFormat="1" applyFont="1" applyAlignment="1">
      <alignment horizontal="left"/>
    </xf>
    <xf numFmtId="0" fontId="0" fillId="0" borderId="56" xfId="0" applyBorder="1" applyAlignment="1">
      <alignment horizontal="center" shrinkToFit="1"/>
    </xf>
    <xf numFmtId="0" fontId="0" fillId="0" borderId="58" xfId="0" applyBorder="1" applyAlignment="1">
      <alignment horizontal="center" shrinkToFit="1"/>
    </xf>
    <xf numFmtId="17" fontId="6" fillId="0" borderId="0" xfId="0" applyNumberFormat="1" applyFont="1" applyAlignment="1">
      <alignment horizontal="centerContinuous"/>
    </xf>
    <xf numFmtId="172" fontId="38" fillId="0" borderId="15" xfId="0" applyNumberFormat="1" applyFont="1" applyBorder="1" applyAlignment="1">
      <alignment horizontal="center" shrinkToFit="1"/>
    </xf>
    <xf numFmtId="177" fontId="0" fillId="0" borderId="0" xfId="0" applyNumberFormat="1"/>
    <xf numFmtId="188" fontId="0" fillId="16" borderId="0" xfId="0" applyNumberFormat="1" applyFill="1"/>
    <xf numFmtId="0" fontId="6" fillId="0" borderId="0" xfId="0" applyFont="1" applyAlignment="1">
      <alignment horizontal="left"/>
    </xf>
    <xf numFmtId="0" fontId="0" fillId="0" borderId="15" xfId="0" applyBorder="1" applyAlignment="1">
      <alignment horizontal="center"/>
    </xf>
    <xf numFmtId="0" fontId="0" fillId="23" borderId="0" xfId="0" applyFill="1"/>
    <xf numFmtId="0" fontId="0" fillId="0" borderId="12" xfId="0" applyBorder="1" applyAlignment="1">
      <alignment horizontal="center"/>
    </xf>
    <xf numFmtId="2" fontId="7" fillId="0" borderId="55" xfId="0" applyNumberFormat="1" applyFont="1" applyBorder="1" applyAlignment="1">
      <alignment horizontal="center" shrinkToFit="1"/>
    </xf>
    <xf numFmtId="2" fontId="7" fillId="0" borderId="13" xfId="0" applyNumberFormat="1" applyFont="1" applyBorder="1" applyAlignment="1">
      <alignment horizontal="center" shrinkToFit="1"/>
    </xf>
    <xf numFmtId="2" fontId="7" fillId="0" borderId="14" xfId="0" applyNumberFormat="1" applyFont="1" applyBorder="1" applyAlignment="1">
      <alignment horizontal="center" shrinkToFit="1"/>
    </xf>
    <xf numFmtId="1" fontId="7" fillId="0" borderId="36" xfId="0" applyNumberFormat="1" applyFont="1" applyBorder="1" applyAlignment="1">
      <alignment horizontal="center" vertical="center" wrapText="1"/>
    </xf>
    <xf numFmtId="0" fontId="0" fillId="0" borderId="43" xfId="0" applyBorder="1" applyAlignment="1">
      <alignment horizontal="center" wrapText="1"/>
    </xf>
    <xf numFmtId="0" fontId="0" fillId="0" borderId="43" xfId="0" applyBorder="1" applyAlignment="1">
      <alignment horizontal="center" vertical="center" wrapText="1"/>
    </xf>
    <xf numFmtId="17" fontId="7" fillId="0" borderId="22" xfId="0" applyNumberFormat="1" applyFont="1" applyBorder="1" applyAlignment="1">
      <alignment horizontal="center" wrapText="1"/>
    </xf>
    <xf numFmtId="1" fontId="0" fillId="0" borderId="4" xfId="0" applyNumberFormat="1" applyBorder="1" applyAlignment="1">
      <alignment horizontal="center" shrinkToFit="1"/>
    </xf>
    <xf numFmtId="164" fontId="3" fillId="20" borderId="5" xfId="2" applyNumberFormat="1" applyFont="1" applyFill="1" applyBorder="1" applyAlignment="1" applyProtection="1">
      <alignment horizontal="center" shrinkToFit="1"/>
    </xf>
    <xf numFmtId="164" fontId="3" fillId="20" borderId="23" xfId="2" applyNumberFormat="1" applyFont="1" applyFill="1" applyBorder="1" applyAlignment="1" applyProtection="1">
      <alignment horizontal="center" shrinkToFit="1"/>
    </xf>
    <xf numFmtId="17" fontId="7" fillId="0" borderId="12" xfId="0" applyNumberFormat="1" applyFont="1" applyBorder="1" applyAlignment="1">
      <alignment horizontal="center" wrapText="1"/>
    </xf>
    <xf numFmtId="1" fontId="0" fillId="0" borderId="44" xfId="0" applyNumberFormat="1" applyBorder="1" applyAlignment="1">
      <alignment horizontal="center" shrinkToFit="1"/>
    </xf>
    <xf numFmtId="164" fontId="3" fillId="20" borderId="49" xfId="2" applyNumberFormat="1" applyFont="1" applyFill="1" applyBorder="1" applyAlignment="1" applyProtection="1">
      <alignment horizontal="center" shrinkToFit="1"/>
    </xf>
    <xf numFmtId="164" fontId="3" fillId="20" borderId="20" xfId="2" applyNumberFormat="1" applyFont="1" applyFill="1" applyBorder="1" applyAlignment="1" applyProtection="1">
      <alignment horizontal="center" shrinkToFit="1"/>
    </xf>
    <xf numFmtId="0" fontId="0" fillId="0" borderId="16" xfId="0" applyBorder="1"/>
    <xf numFmtId="17" fontId="7" fillId="0" borderId="15" xfId="0" applyNumberFormat="1" applyFont="1" applyBorder="1" applyAlignment="1">
      <alignment horizontal="center" wrapText="1"/>
    </xf>
    <xf numFmtId="1" fontId="0" fillId="0" borderId="53" xfId="0" applyNumberFormat="1" applyBorder="1" applyAlignment="1">
      <alignment horizontal="center" shrinkToFit="1"/>
    </xf>
    <xf numFmtId="164" fontId="3" fillId="20" borderId="54" xfId="2" applyNumberFormat="1" applyFont="1" applyFill="1" applyBorder="1" applyAlignment="1" applyProtection="1">
      <alignment horizontal="center" shrinkToFit="1"/>
    </xf>
    <xf numFmtId="167" fontId="1" fillId="9" borderId="16" xfId="2" applyNumberFormat="1" applyFont="1" applyFill="1" applyBorder="1" applyAlignment="1" applyProtection="1">
      <alignment horizontal="center" shrinkToFit="1"/>
    </xf>
    <xf numFmtId="1" fontId="0" fillId="0" borderId="16" xfId="0" applyNumberFormat="1" applyBorder="1" applyAlignment="1">
      <alignment horizontal="center" shrinkToFit="1"/>
    </xf>
    <xf numFmtId="164" fontId="3" fillId="20" borderId="17" xfId="2" applyNumberFormat="1" applyFont="1" applyFill="1" applyBorder="1" applyAlignment="1" applyProtection="1">
      <alignment horizontal="center" shrinkToFit="1"/>
    </xf>
    <xf numFmtId="167" fontId="1" fillId="9" borderId="0" xfId="2" applyNumberFormat="1" applyFont="1" applyFill="1" applyBorder="1" applyAlignment="1" applyProtection="1">
      <alignment horizontal="center" shrinkToFit="1"/>
    </xf>
    <xf numFmtId="1" fontId="0" fillId="0" borderId="0" xfId="0" applyNumberFormat="1" applyAlignment="1">
      <alignment horizontal="center" shrinkToFit="1"/>
    </xf>
    <xf numFmtId="167" fontId="1" fillId="9" borderId="19" xfId="2" applyNumberFormat="1" applyFont="1" applyFill="1" applyBorder="1" applyAlignment="1" applyProtection="1">
      <alignment horizontal="center" shrinkToFit="1"/>
    </xf>
    <xf numFmtId="1" fontId="0" fillId="0" borderId="19" xfId="0" applyNumberFormat="1" applyBorder="1" applyAlignment="1">
      <alignment horizontal="center" shrinkToFit="1"/>
    </xf>
    <xf numFmtId="17" fontId="0" fillId="0" borderId="0" xfId="0" applyNumberFormat="1" applyAlignment="1">
      <alignment horizontal="left"/>
    </xf>
    <xf numFmtId="164" fontId="0" fillId="0" borderId="0" xfId="2" applyNumberFormat="1" applyFont="1" applyFill="1" applyBorder="1" applyAlignment="1" applyProtection="1">
      <alignment horizontal="center"/>
    </xf>
    <xf numFmtId="165" fontId="0" fillId="0" borderId="0" xfId="2" applyNumberFormat="1" applyFont="1" applyFill="1" applyBorder="1" applyAlignment="1" applyProtection="1">
      <alignment horizontal="center"/>
    </xf>
    <xf numFmtId="17" fontId="14" fillId="0" borderId="63" xfId="0" applyNumberFormat="1" applyFont="1" applyBorder="1" applyAlignment="1">
      <alignment horizontal="center" wrapText="1"/>
    </xf>
    <xf numFmtId="1" fontId="14" fillId="0" borderId="76" xfId="0" applyNumberFormat="1" applyFont="1" applyBorder="1" applyAlignment="1">
      <alignment horizontal="center" shrinkToFit="1"/>
    </xf>
    <xf numFmtId="164" fontId="7" fillId="20" borderId="77" xfId="2" applyNumberFormat="1" applyFont="1" applyFill="1" applyBorder="1" applyAlignment="1" applyProtection="1">
      <alignment horizontal="center" shrinkToFit="1"/>
    </xf>
    <xf numFmtId="164" fontId="7" fillId="20" borderId="78" xfId="2" applyNumberFormat="1" applyFont="1" applyFill="1" applyBorder="1" applyAlignment="1" applyProtection="1">
      <alignment horizontal="center" shrinkToFit="1"/>
    </xf>
    <xf numFmtId="0" fontId="7" fillId="23" borderId="0" xfId="0" applyFont="1" applyFill="1"/>
    <xf numFmtId="17" fontId="14" fillId="0" borderId="64" xfId="0" applyNumberFormat="1" applyFont="1" applyBorder="1" applyAlignment="1">
      <alignment horizontal="center" wrapText="1"/>
    </xf>
    <xf numFmtId="1" fontId="14" fillId="0" borderId="70" xfId="0" applyNumberFormat="1" applyFont="1" applyBorder="1" applyAlignment="1">
      <alignment horizontal="center" shrinkToFit="1"/>
    </xf>
    <xf numFmtId="164" fontId="7" fillId="20" borderId="71" xfId="2" applyNumberFormat="1" applyFont="1" applyFill="1" applyBorder="1" applyAlignment="1" applyProtection="1">
      <alignment horizontal="center" shrinkToFit="1"/>
    </xf>
    <xf numFmtId="164" fontId="7" fillId="20" borderId="72" xfId="2" applyNumberFormat="1" applyFont="1" applyFill="1" applyBorder="1" applyAlignment="1" applyProtection="1">
      <alignment horizontal="center" shrinkToFit="1"/>
    </xf>
    <xf numFmtId="17" fontId="14" fillId="0" borderId="65" xfId="0" applyNumberFormat="1" applyFont="1" applyBorder="1" applyAlignment="1">
      <alignment horizontal="center" wrapText="1"/>
    </xf>
    <xf numFmtId="1" fontId="14" fillId="0" borderId="73" xfId="0" applyNumberFormat="1" applyFont="1" applyBorder="1" applyAlignment="1">
      <alignment horizontal="center" shrinkToFit="1"/>
    </xf>
    <xf numFmtId="164" fontId="7" fillId="20" borderId="74" xfId="2" applyNumberFormat="1" applyFont="1" applyFill="1" applyBorder="1" applyAlignment="1" applyProtection="1">
      <alignment horizontal="center" shrinkToFit="1"/>
    </xf>
    <xf numFmtId="164" fontId="7" fillId="20" borderId="75" xfId="2" applyNumberFormat="1" applyFont="1" applyFill="1" applyBorder="1" applyAlignment="1" applyProtection="1">
      <alignment horizontal="center" shrinkToFit="1"/>
    </xf>
    <xf numFmtId="17" fontId="14" fillId="0" borderId="66" xfId="0" applyNumberFormat="1" applyFont="1" applyBorder="1" applyAlignment="1">
      <alignment horizontal="center" wrapText="1"/>
    </xf>
    <xf numFmtId="1" fontId="14" fillId="0" borderId="67" xfId="0" applyNumberFormat="1" applyFont="1" applyBorder="1" applyAlignment="1">
      <alignment horizontal="center" shrinkToFit="1"/>
    </xf>
    <xf numFmtId="164" fontId="7" fillId="20" borderId="68" xfId="2" applyNumberFormat="1" applyFont="1" applyFill="1" applyBorder="1" applyAlignment="1" applyProtection="1">
      <alignment horizontal="center" shrinkToFit="1"/>
    </xf>
    <xf numFmtId="167" fontId="7" fillId="9" borderId="98" xfId="2" applyNumberFormat="1" applyFont="1" applyFill="1" applyBorder="1" applyAlignment="1" applyProtection="1">
      <alignment horizontal="center" shrinkToFit="1"/>
    </xf>
    <xf numFmtId="164" fontId="7" fillId="20" borderId="69" xfId="2" applyNumberFormat="1" applyFont="1" applyFill="1" applyBorder="1" applyAlignment="1" applyProtection="1">
      <alignment horizontal="center" shrinkToFit="1"/>
    </xf>
    <xf numFmtId="167" fontId="7" fillId="9" borderId="96" xfId="2" applyNumberFormat="1" applyFont="1" applyFill="1" applyBorder="1" applyAlignment="1" applyProtection="1">
      <alignment horizontal="center" shrinkToFit="1"/>
    </xf>
    <xf numFmtId="167" fontId="7" fillId="9" borderId="97" xfId="2" applyNumberFormat="1" applyFont="1" applyFill="1" applyBorder="1" applyAlignment="1" applyProtection="1">
      <alignment horizontal="center" shrinkToFit="1"/>
    </xf>
    <xf numFmtId="0" fontId="16" fillId="0" borderId="0" xfId="0" applyFont="1"/>
    <xf numFmtId="172" fontId="34" fillId="0" borderId="45" xfId="0" applyNumberFormat="1" applyFont="1" applyBorder="1" applyAlignment="1">
      <alignment horizontal="center" vertical="center" wrapText="1" shrinkToFit="1"/>
    </xf>
    <xf numFmtId="1" fontId="34" fillId="0" borderId="46" xfId="0" applyNumberFormat="1" applyFont="1" applyBorder="1" applyAlignment="1">
      <alignment horizontal="center" vertical="center" wrapText="1"/>
    </xf>
    <xf numFmtId="164" fontId="35" fillId="20" borderId="51" xfId="2" applyNumberFormat="1" applyFont="1" applyFill="1" applyBorder="1" applyAlignment="1" applyProtection="1">
      <alignment horizontal="center" vertical="center" shrinkToFit="1"/>
    </xf>
    <xf numFmtId="164" fontId="35" fillId="20" borderId="52" xfId="2" applyNumberFormat="1" applyFont="1" applyFill="1" applyBorder="1" applyAlignment="1" applyProtection="1">
      <alignment horizontal="center" vertical="center" shrinkToFit="1"/>
    </xf>
    <xf numFmtId="186" fontId="7" fillId="16" borderId="0" xfId="0" applyNumberFormat="1" applyFont="1" applyFill="1"/>
    <xf numFmtId="0" fontId="16" fillId="16" borderId="0" xfId="0" applyFont="1" applyFill="1"/>
    <xf numFmtId="172" fontId="34" fillId="0" borderId="12" xfId="0" applyNumberFormat="1" applyFont="1" applyBorder="1" applyAlignment="1">
      <alignment horizontal="center" vertical="center" wrapText="1" shrinkToFit="1"/>
    </xf>
    <xf numFmtId="1" fontId="34" fillId="0" borderId="44" xfId="0" applyNumberFormat="1" applyFont="1" applyBorder="1" applyAlignment="1">
      <alignment horizontal="center" vertical="center" wrapText="1"/>
    </xf>
    <xf numFmtId="164" fontId="35" fillId="20" borderId="49" xfId="2" applyNumberFormat="1" applyFont="1" applyFill="1" applyBorder="1" applyAlignment="1" applyProtection="1">
      <alignment horizontal="center" vertical="center" shrinkToFit="1"/>
    </xf>
    <xf numFmtId="167" fontId="35" fillId="9" borderId="19" xfId="2" applyNumberFormat="1" applyFont="1" applyFill="1" applyBorder="1" applyAlignment="1" applyProtection="1">
      <alignment horizontal="center" vertical="center" shrinkToFit="1"/>
    </xf>
    <xf numFmtId="164" fontId="35" fillId="20" borderId="20" xfId="2" applyNumberFormat="1" applyFont="1" applyFill="1" applyBorder="1" applyAlignment="1" applyProtection="1">
      <alignment horizontal="center" vertical="center" shrinkToFit="1"/>
    </xf>
    <xf numFmtId="180" fontId="0" fillId="16" borderId="0" xfId="0" applyNumberFormat="1" applyFill="1"/>
    <xf numFmtId="174" fontId="7" fillId="0" borderId="59" xfId="11" applyNumberFormat="1" applyFont="1" applyFill="1" applyBorder="1" applyAlignment="1" applyProtection="1">
      <alignment horizontal="center" shrinkToFit="1"/>
    </xf>
    <xf numFmtId="1" fontId="7" fillId="0" borderId="10" xfId="0" quotePrefix="1" applyNumberFormat="1" applyFont="1" applyBorder="1" applyAlignment="1">
      <alignment horizontal="center" shrinkToFit="1"/>
    </xf>
    <xf numFmtId="1" fontId="7" fillId="0" borderId="0" xfId="0" quotePrefix="1" applyNumberFormat="1" applyFont="1" applyAlignment="1">
      <alignment horizontal="center" shrinkToFit="1"/>
    </xf>
    <xf numFmtId="174" fontId="7" fillId="0" borderId="60" xfId="11" applyNumberFormat="1" applyFont="1" applyFill="1" applyBorder="1" applyAlignment="1" applyProtection="1">
      <alignment horizontal="center" shrinkToFit="1"/>
    </xf>
    <xf numFmtId="1" fontId="7" fillId="0" borderId="11" xfId="0" quotePrefix="1" applyNumberFormat="1" applyFont="1" applyBorder="1" applyAlignment="1">
      <alignment horizontal="center" shrinkToFit="1"/>
    </xf>
    <xf numFmtId="1" fontId="7" fillId="0" borderId="22" xfId="0" applyNumberFormat="1" applyFont="1" applyBorder="1" applyAlignment="1">
      <alignment horizontal="center" shrinkToFit="1"/>
    </xf>
    <xf numFmtId="168" fontId="0" fillId="0" borderId="0" xfId="0" applyNumberFormat="1" applyAlignment="1">
      <alignment horizontal="center" shrinkToFit="1"/>
    </xf>
    <xf numFmtId="17" fontId="7" fillId="0" borderId="0" xfId="0" applyNumberFormat="1" applyFont="1" applyAlignment="1">
      <alignment horizontal="left"/>
    </xf>
    <xf numFmtId="164" fontId="7" fillId="0" borderId="0" xfId="2" applyNumberFormat="1" applyFont="1" applyFill="1" applyBorder="1" applyAlignment="1" applyProtection="1">
      <alignment horizontal="center"/>
    </xf>
    <xf numFmtId="166" fontId="7" fillId="0" borderId="0" xfId="11" applyNumberFormat="1" applyFont="1" applyFill="1" applyBorder="1" applyAlignment="1" applyProtection="1">
      <alignment horizontal="center"/>
    </xf>
    <xf numFmtId="1" fontId="7" fillId="0" borderId="0" xfId="0" applyNumberFormat="1" applyFont="1" applyAlignment="1">
      <alignment horizontal="center"/>
    </xf>
    <xf numFmtId="1" fontId="7" fillId="0" borderId="12" xfId="0" applyNumberFormat="1" applyFont="1" applyBorder="1" applyAlignment="1">
      <alignment horizontal="center" shrinkToFit="1"/>
    </xf>
    <xf numFmtId="168" fontId="0" fillId="0" borderId="19" xfId="0" applyNumberFormat="1" applyBorder="1" applyAlignment="1">
      <alignment horizontal="center" shrinkToFit="1"/>
    </xf>
    <xf numFmtId="1" fontId="35" fillId="17" borderId="0" xfId="0" applyNumberFormat="1" applyFont="1" applyFill="1" applyAlignment="1">
      <alignment horizontal="right"/>
    </xf>
    <xf numFmtId="2" fontId="0" fillId="17" borderId="0" xfId="0" applyNumberFormat="1" applyFill="1"/>
    <xf numFmtId="0" fontId="0" fillId="17" borderId="0" xfId="0" applyFill="1"/>
    <xf numFmtId="177" fontId="0" fillId="17" borderId="0" xfId="0" applyNumberFormat="1" applyFill="1"/>
    <xf numFmtId="1" fontId="7" fillId="17" borderId="0" xfId="0" applyNumberFormat="1" applyFont="1" applyFill="1" applyAlignment="1">
      <alignment horizontal="center"/>
    </xf>
    <xf numFmtId="172" fontId="34" fillId="0" borderId="19" xfId="0" applyNumberFormat="1" applyFont="1" applyBorder="1" applyAlignment="1">
      <alignment horizontal="center" vertical="center" wrapText="1" shrinkToFit="1"/>
    </xf>
    <xf numFmtId="164" fontId="7" fillId="0" borderId="1" xfId="2" applyNumberFormat="1" applyFont="1" applyFill="1" applyBorder="1" applyAlignment="1" applyProtection="1">
      <alignment horizontal="centerContinuous" vertical="center"/>
    </xf>
    <xf numFmtId="1" fontId="0" fillId="0" borderId="3" xfId="0" applyNumberFormat="1" applyBorder="1" applyAlignment="1">
      <alignment horizontal="centerContinuous"/>
    </xf>
    <xf numFmtId="172" fontId="34" fillId="0" borderId="19" xfId="0" applyNumberFormat="1" applyFont="1" applyBorder="1" applyAlignment="1">
      <alignment horizontal="centerContinuous" vertical="center" wrapText="1" shrinkToFit="1"/>
    </xf>
    <xf numFmtId="0" fontId="0" fillId="0" borderId="42" xfId="0" applyBorder="1" applyAlignment="1">
      <alignment vertical="center"/>
    </xf>
    <xf numFmtId="1" fontId="35" fillId="0" borderId="61" xfId="0" applyNumberFormat="1" applyFont="1" applyBorder="1" applyAlignment="1">
      <alignment horizontal="right" vertical="center"/>
    </xf>
    <xf numFmtId="2" fontId="0" fillId="0" borderId="43" xfId="0" applyNumberFormat="1" applyBorder="1" applyAlignment="1">
      <alignment horizontal="right" vertical="center" wrapText="1"/>
    </xf>
    <xf numFmtId="0" fontId="0" fillId="0" borderId="47" xfId="0" applyBorder="1" applyAlignment="1">
      <alignment horizontal="center"/>
    </xf>
    <xf numFmtId="177" fontId="0" fillId="0" borderId="43" xfId="0" applyNumberFormat="1" applyBorder="1" applyAlignment="1">
      <alignment horizontal="right" vertical="center" shrinkToFit="1"/>
    </xf>
    <xf numFmtId="0" fontId="0" fillId="0" borderId="48" xfId="0" applyBorder="1" applyAlignment="1">
      <alignment horizontal="left" vertical="center" shrinkToFit="1"/>
    </xf>
    <xf numFmtId="0" fontId="0" fillId="0" borderId="42" xfId="0" applyBorder="1"/>
    <xf numFmtId="0" fontId="0" fillId="0" borderId="47" xfId="0" applyBorder="1" applyAlignment="1">
      <alignment horizontal="left" vertical="center" shrinkToFit="1"/>
    </xf>
    <xf numFmtId="177" fontId="0" fillId="0" borderId="43" xfId="0" applyNumberFormat="1" applyBorder="1" applyAlignment="1">
      <alignment horizontal="right" vertical="center" wrapText="1"/>
    </xf>
    <xf numFmtId="0" fontId="0" fillId="0" borderId="12" xfId="0" applyBorder="1"/>
    <xf numFmtId="1" fontId="35" fillId="0" borderId="12" xfId="0" applyNumberFormat="1" applyFont="1" applyBorder="1" applyAlignment="1">
      <alignment horizontal="right"/>
    </xf>
    <xf numFmtId="2" fontId="0" fillId="0" borderId="44" xfId="0" applyNumberFormat="1" applyBorder="1"/>
    <xf numFmtId="0" fontId="0" fillId="0" borderId="49" xfId="0" applyBorder="1" applyAlignment="1">
      <alignment horizontal="center"/>
    </xf>
    <xf numFmtId="177" fontId="0" fillId="0" borderId="44" xfId="0" applyNumberFormat="1" applyBorder="1"/>
    <xf numFmtId="0" fontId="0" fillId="0" borderId="20" xfId="0" applyBorder="1"/>
    <xf numFmtId="0" fontId="0" fillId="0" borderId="49" xfId="0" applyBorder="1"/>
    <xf numFmtId="1" fontId="35" fillId="0" borderId="0" xfId="0" applyNumberFormat="1" applyFont="1" applyAlignment="1">
      <alignment horizontal="right"/>
    </xf>
    <xf numFmtId="2" fontId="7" fillId="0" borderId="83" xfId="0" applyNumberFormat="1" applyFont="1" applyBorder="1" applyAlignment="1">
      <alignment horizontal="center" shrinkToFit="1"/>
    </xf>
    <xf numFmtId="0" fontId="28" fillId="21" borderId="84" xfId="0" applyFont="1" applyFill="1" applyBorder="1" applyAlignment="1">
      <alignment horizontal="center" vertical="center" wrapText="1"/>
    </xf>
    <xf numFmtId="167" fontId="35" fillId="9" borderId="99" xfId="2" applyNumberFormat="1" applyFont="1" applyFill="1" applyBorder="1" applyAlignment="1" applyProtection="1">
      <alignment horizontal="center" vertical="center" shrinkToFit="1"/>
    </xf>
    <xf numFmtId="1" fontId="2" fillId="6" borderId="0" xfId="0" applyNumberFormat="1" applyFont="1" applyFill="1" applyAlignment="1">
      <alignment horizontal="centerContinuous"/>
    </xf>
    <xf numFmtId="17" fontId="38" fillId="25" borderId="22" xfId="0" applyNumberFormat="1" applyFont="1" applyFill="1" applyBorder="1" applyAlignment="1">
      <alignment horizontal="center"/>
    </xf>
    <xf numFmtId="167" fontId="3" fillId="0" borderId="0" xfId="2" applyNumberFormat="1" applyFont="1" applyFill="1" applyBorder="1" applyAlignment="1">
      <alignment horizontal="center" shrinkToFit="1"/>
    </xf>
    <xf numFmtId="167" fontId="0" fillId="0" borderId="0" xfId="2" applyNumberFormat="1" applyFont="1" applyFill="1" applyBorder="1" applyAlignment="1">
      <alignment horizontal="center" shrinkToFit="1"/>
    </xf>
    <xf numFmtId="187" fontId="1" fillId="19" borderId="94" xfId="2" applyNumberFormat="1" applyFont="1" applyFill="1" applyBorder="1" applyAlignment="1">
      <alignment horizontal="right" shrinkToFit="1"/>
    </xf>
    <xf numFmtId="187" fontId="1" fillId="0" borderId="94" xfId="2" applyNumberFormat="1" applyFont="1" applyFill="1" applyBorder="1" applyAlignment="1">
      <alignment horizontal="right" shrinkToFit="1"/>
    </xf>
    <xf numFmtId="167" fontId="3" fillId="0" borderId="89" xfId="2" applyNumberFormat="1" applyFont="1" applyFill="1" applyBorder="1" applyAlignment="1">
      <alignment horizontal="center" shrinkToFit="1"/>
    </xf>
    <xf numFmtId="0" fontId="55" fillId="0" borderId="7" xfId="0" applyFont="1" applyBorder="1"/>
    <xf numFmtId="189" fontId="16" fillId="16" borderId="0" xfId="0" applyNumberFormat="1" applyFont="1" applyFill="1"/>
    <xf numFmtId="190" fontId="1" fillId="0" borderId="94" xfId="2" applyNumberFormat="1" applyFont="1" applyFill="1" applyBorder="1" applyAlignment="1">
      <alignment horizontal="right" shrinkToFit="1"/>
    </xf>
    <xf numFmtId="172" fontId="38" fillId="0" borderId="36" xfId="0" applyNumberFormat="1" applyFont="1" applyBorder="1" applyAlignment="1">
      <alignment horizontal="center" shrinkToFit="1"/>
    </xf>
    <xf numFmtId="169" fontId="17" fillId="10" borderId="57" xfId="2" applyNumberFormat="1" applyFont="1" applyFill="1" applyBorder="1" applyAlignment="1" applyProtection="1">
      <alignment horizontal="center" shrinkToFit="1"/>
      <protection locked="0"/>
    </xf>
    <xf numFmtId="178" fontId="17" fillId="10" borderId="37" xfId="2" applyNumberFormat="1" applyFont="1" applyFill="1" applyBorder="1" applyAlignment="1" applyProtection="1">
      <alignment shrinkToFit="1"/>
      <protection locked="0"/>
    </xf>
    <xf numFmtId="0" fontId="57" fillId="0" borderId="0" xfId="0" applyFont="1"/>
    <xf numFmtId="0" fontId="58" fillId="0" borderId="0" xfId="14" applyFont="1"/>
    <xf numFmtId="168" fontId="40" fillId="0" borderId="0" xfId="0" applyNumberFormat="1" applyFont="1" applyAlignment="1">
      <alignment horizontal="center"/>
    </xf>
    <xf numFmtId="187" fontId="1" fillId="24" borderId="5" xfId="2" applyNumberFormat="1" applyFont="1" applyFill="1" applyBorder="1" applyAlignment="1" applyProtection="1">
      <alignment horizontal="left" indent="3" shrinkToFit="1"/>
    </xf>
    <xf numFmtId="187" fontId="7" fillId="24" borderId="5" xfId="2" applyNumberFormat="1" applyFont="1" applyFill="1" applyBorder="1" applyAlignment="1">
      <alignment horizontal="left" indent="3" shrinkToFit="1"/>
    </xf>
    <xf numFmtId="187" fontId="7" fillId="24" borderId="8" xfId="2" applyNumberFormat="1" applyFont="1" applyFill="1" applyBorder="1" applyAlignment="1">
      <alignment horizontal="left" indent="3" shrinkToFit="1"/>
    </xf>
    <xf numFmtId="187" fontId="7" fillId="24" borderId="51" xfId="2" applyNumberFormat="1" applyFont="1" applyFill="1" applyBorder="1" applyAlignment="1">
      <alignment horizontal="left" indent="3" shrinkToFit="1"/>
    </xf>
    <xf numFmtId="17" fontId="7" fillId="17" borderId="0" xfId="0" applyNumberFormat="1" applyFont="1" applyFill="1" applyAlignment="1">
      <alignment horizontal="left"/>
    </xf>
    <xf numFmtId="0" fontId="16" fillId="0" borderId="0" xfId="0" applyFont="1" applyAlignment="1">
      <alignment horizontal="left"/>
    </xf>
    <xf numFmtId="185" fontId="0" fillId="0" borderId="50" xfId="0" applyNumberFormat="1" applyBorder="1" applyAlignment="1">
      <alignment horizontal="right" indent="2"/>
    </xf>
    <xf numFmtId="185" fontId="0" fillId="0" borderId="92" xfId="0" applyNumberFormat="1" applyBorder="1" applyAlignment="1">
      <alignment horizontal="right" indent="2"/>
    </xf>
    <xf numFmtId="1" fontId="16" fillId="0" borderId="88" xfId="0" applyNumberFormat="1" applyFont="1" applyBorder="1" applyAlignment="1">
      <alignment horizontal="center" vertical="center" wrapText="1"/>
    </xf>
    <xf numFmtId="185" fontId="0" fillId="0" borderId="9" xfId="0" applyNumberFormat="1" applyBorder="1" applyAlignment="1">
      <alignment horizontal="right" indent="2"/>
    </xf>
    <xf numFmtId="185" fontId="0" fillId="0" borderId="82" xfId="0" applyNumberFormat="1" applyBorder="1" applyAlignment="1">
      <alignment horizontal="right" indent="2"/>
    </xf>
    <xf numFmtId="2" fontId="37" fillId="26" borderId="0" xfId="0" applyNumberFormat="1" applyFont="1" applyFill="1" applyAlignment="1">
      <alignment horizontal="center"/>
    </xf>
    <xf numFmtId="2" fontId="45" fillId="26" borderId="37" xfId="0" applyNumberFormat="1" applyFont="1" applyFill="1" applyBorder="1" applyAlignment="1">
      <alignment horizontal="center"/>
    </xf>
    <xf numFmtId="17" fontId="7" fillId="0" borderId="103" xfId="0" applyNumberFormat="1" applyFont="1" applyBorder="1" applyAlignment="1">
      <alignment horizontal="center" wrapText="1"/>
    </xf>
    <xf numFmtId="185" fontId="0" fillId="0" borderId="104" xfId="0" applyNumberFormat="1" applyBorder="1" applyAlignment="1">
      <alignment horizontal="right" indent="2"/>
    </xf>
    <xf numFmtId="167" fontId="3" fillId="0" borderId="105" xfId="2" applyNumberFormat="1" applyFont="1" applyFill="1" applyBorder="1" applyAlignment="1">
      <alignment horizontal="center" shrinkToFit="1"/>
    </xf>
    <xf numFmtId="167" fontId="3" fillId="0" borderId="11" xfId="2" applyNumberFormat="1" applyFont="1" applyFill="1" applyBorder="1" applyAlignment="1">
      <alignment horizontal="center" shrinkToFit="1"/>
    </xf>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4" fillId="0" borderId="0" xfId="0" applyFont="1" applyAlignment="1">
      <alignment horizontal="left"/>
    </xf>
    <xf numFmtId="0" fontId="5" fillId="0" borderId="0" xfId="0" applyFont="1" applyAlignment="1">
      <alignment horizontal="left"/>
    </xf>
    <xf numFmtId="0" fontId="54" fillId="22" borderId="0" xfId="0" applyFont="1" applyFill="1" applyAlignment="1">
      <alignment horizontal="left" shrinkToFit="1"/>
    </xf>
    <xf numFmtId="2" fontId="7" fillId="0" borderId="36" xfId="0" applyNumberFormat="1" applyFont="1" applyBorder="1" applyAlignment="1">
      <alignment horizontal="center" shrinkToFit="1"/>
    </xf>
    <xf numFmtId="2" fontId="7" fillId="0" borderId="37" xfId="0" applyNumberFormat="1" applyFont="1" applyBorder="1" applyAlignment="1">
      <alignment horizontal="center" shrinkToFit="1"/>
    </xf>
    <xf numFmtId="2" fontId="7" fillId="0" borderId="38" xfId="0" applyNumberFormat="1" applyFont="1" applyBorder="1" applyAlignment="1">
      <alignment horizontal="center" shrinkToFit="1"/>
    </xf>
    <xf numFmtId="17" fontId="7" fillId="0" borderId="0" xfId="0" applyNumberFormat="1" applyFont="1" applyAlignment="1">
      <alignment horizontal="right" shrinkToFit="1"/>
    </xf>
    <xf numFmtId="17" fontId="7" fillId="0" borderId="23" xfId="0" applyNumberFormat="1" applyFont="1" applyBorder="1" applyAlignment="1">
      <alignment horizontal="right" shrinkToFit="1"/>
    </xf>
    <xf numFmtId="2" fontId="0" fillId="0" borderId="23" xfId="0" applyNumberFormat="1" applyBorder="1" applyAlignment="1">
      <alignment horizontal="center" shrinkToFit="1"/>
    </xf>
    <xf numFmtId="2" fontId="0" fillId="0" borderId="19" xfId="0" applyNumberFormat="1" applyBorder="1" applyAlignment="1">
      <alignment horizontal="center" shrinkToFit="1"/>
    </xf>
    <xf numFmtId="2" fontId="0" fillId="0" borderId="20" xfId="0" applyNumberFormat="1" applyBorder="1" applyAlignment="1">
      <alignment horizontal="center" shrinkToFit="1"/>
    </xf>
    <xf numFmtId="0" fontId="7" fillId="0" borderId="62" xfId="0" applyFont="1" applyBorder="1" applyAlignment="1">
      <alignment horizontal="center" shrinkToFit="1"/>
    </xf>
    <xf numFmtId="0" fontId="7" fillId="0" borderId="10" xfId="0" applyFont="1" applyBorder="1" applyAlignment="1">
      <alignment horizontal="center" shrinkToFit="1"/>
    </xf>
    <xf numFmtId="0" fontId="0" fillId="21" borderId="16" xfId="0" applyFill="1" applyBorder="1" applyAlignment="1">
      <alignment horizontal="left" vertical="top" wrapText="1"/>
    </xf>
    <xf numFmtId="0" fontId="0" fillId="21" borderId="0" xfId="0" applyFill="1" applyAlignment="1">
      <alignment horizontal="left" vertical="top" wrapText="1"/>
    </xf>
    <xf numFmtId="0" fontId="0" fillId="24" borderId="0" xfId="0" applyFill="1" applyAlignment="1">
      <alignment horizontal="left" vertical="top" wrapText="1"/>
    </xf>
    <xf numFmtId="0" fontId="7" fillId="0" borderId="85" xfId="0" applyFont="1" applyBorder="1" applyAlignment="1">
      <alignment horizontal="center" shrinkToFit="1"/>
    </xf>
    <xf numFmtId="0" fontId="7" fillId="0" borderId="86" xfId="0" applyFont="1" applyBorder="1" applyAlignment="1">
      <alignment horizontal="center" shrinkToFit="1"/>
    </xf>
    <xf numFmtId="0" fontId="43" fillId="24" borderId="0" xfId="0" applyFont="1" applyFill="1" applyAlignment="1">
      <alignment horizontal="left" wrapText="1"/>
    </xf>
    <xf numFmtId="1" fontId="16" fillId="0" borderId="101" xfId="0" applyNumberFormat="1" applyFont="1" applyBorder="1" applyAlignment="1">
      <alignment horizontal="center" vertical="center" wrapText="1"/>
    </xf>
    <xf numFmtId="1" fontId="16" fillId="0" borderId="102" xfId="0" applyNumberFormat="1" applyFont="1" applyBorder="1" applyAlignment="1">
      <alignment horizontal="center" vertical="center" wrapText="1"/>
    </xf>
    <xf numFmtId="1" fontId="16" fillId="0" borderId="100" xfId="0" applyNumberFormat="1" applyFont="1" applyBorder="1" applyAlignment="1">
      <alignment horizontal="center" vertical="center" wrapText="1"/>
    </xf>
    <xf numFmtId="1" fontId="16" fillId="0" borderId="42" xfId="0" applyNumberFormat="1" applyFont="1" applyBorder="1" applyAlignment="1">
      <alignment horizontal="center" vertical="center" wrapText="1"/>
    </xf>
    <xf numFmtId="1" fontId="16" fillId="0" borderId="84" xfId="0" applyNumberFormat="1" applyFont="1" applyBorder="1" applyAlignment="1">
      <alignment horizontal="center" vertical="center" wrapText="1"/>
    </xf>
    <xf numFmtId="1" fontId="16" fillId="0" borderId="48" xfId="0" applyNumberFormat="1" applyFont="1" applyBorder="1" applyAlignment="1">
      <alignment horizontal="center" vertical="center" wrapText="1"/>
    </xf>
    <xf numFmtId="0" fontId="12" fillId="0" borderId="9" xfId="0" applyFont="1" applyBorder="1" applyAlignment="1">
      <alignment horizontal="center"/>
    </xf>
    <xf numFmtId="2" fontId="37" fillId="26" borderId="19" xfId="0" applyNumberFormat="1" applyFont="1" applyFill="1" applyBorder="1" applyAlignment="1">
      <alignment horizontal="center"/>
    </xf>
    <xf numFmtId="2" fontId="0" fillId="0" borderId="44" xfId="0" applyNumberFormat="1" applyBorder="1" applyProtection="1"/>
  </cellXfs>
  <cellStyles count="15">
    <cellStyle name="Lien hypertexte" xfId="14" builtinId="8"/>
    <cellStyle name="Lien hypertexte 2" xfId="1" xr:uid="{00000000-0005-0000-0000-000000000000}"/>
    <cellStyle name="Monétaire" xfId="2" builtinId="4"/>
    <cellStyle name="Monétaire 2" xfId="3" xr:uid="{00000000-0005-0000-0000-000002000000}"/>
    <cellStyle name="Monétaire 3" xfId="4" xr:uid="{00000000-0005-0000-0000-000003000000}"/>
    <cellStyle name="Normal" xfId="0" builtinId="0"/>
    <cellStyle name="Normal 2" xfId="5" xr:uid="{00000000-0005-0000-0000-000005000000}"/>
    <cellStyle name="Normal 2 2" xfId="6" xr:uid="{00000000-0005-0000-0000-000006000000}"/>
    <cellStyle name="Normal 2_Saisie" xfId="7" xr:uid="{00000000-0005-0000-0000-000007000000}"/>
    <cellStyle name="Normal 3" xfId="8" xr:uid="{00000000-0005-0000-0000-000008000000}"/>
    <cellStyle name="Normal 4" xfId="9" xr:uid="{00000000-0005-0000-0000-000009000000}"/>
    <cellStyle name="Normal 5" xfId="10" xr:uid="{00000000-0005-0000-0000-00000A000000}"/>
    <cellStyle name="Pourcentage" xfId="11" builtinId="5"/>
    <cellStyle name="Pourcentage 2" xfId="12" xr:uid="{00000000-0005-0000-0000-00000C000000}"/>
    <cellStyle name="Pourcentage 3" xfId="13" xr:uid="{00000000-0005-0000-0000-00000D000000}"/>
  </cellStyles>
  <dxfs count="0"/>
  <tableStyles count="1" defaultTableStyle="TableStyleMedium9" defaultPivotStyle="PivotStyleLight16">
    <tableStyle name="Invisible" pivot="0" table="0" count="0" xr9:uid="{69780CED-D5B3-49B0-B65E-7CA8809D2807}"/>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FF"/>
      <color rgb="FF3333FF"/>
      <color rgb="FFFFFF99"/>
      <color rgb="FF0000FF"/>
      <color rgb="FF008000"/>
      <color rgb="FF00FF00"/>
      <color rgb="FFFFCCFF"/>
      <color rgb="FFCCD668"/>
      <color rgb="FFABDB77"/>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140</xdr:col>
      <xdr:colOff>457200</xdr:colOff>
      <xdr:row>715</xdr:row>
      <xdr:rowOff>95250</xdr:rowOff>
    </xdr:from>
    <xdr:to>
      <xdr:col>148</xdr:col>
      <xdr:colOff>352425</xdr:colOff>
      <xdr:row>719</xdr:row>
      <xdr:rowOff>28575</xdr:rowOff>
    </xdr:to>
    <xdr:pic>
      <xdr:nvPicPr>
        <xdr:cNvPr id="2" name="Picture 12">
          <a:extLst>
            <a:ext uri="{FF2B5EF4-FFF2-40B4-BE49-F238E27FC236}">
              <a16:creationId xmlns:a16="http://schemas.microsoft.com/office/drawing/2014/main" id="{CD87EF7B-0AC6-4EB7-807B-99D3D9C35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572" t="74150" r="34105" b="20091"/>
        <a:stretch>
          <a:fillRect/>
        </a:stretch>
      </xdr:blipFill>
      <xdr:spPr bwMode="auto">
        <a:xfrm>
          <a:off x="101831775" y="117290850"/>
          <a:ext cx="5686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19051</xdr:colOff>
      <xdr:row>0</xdr:row>
      <xdr:rowOff>19050</xdr:rowOff>
    </xdr:from>
    <xdr:to>
      <xdr:col>8</xdr:col>
      <xdr:colOff>745435</xdr:colOff>
      <xdr:row>1</xdr:row>
      <xdr:rowOff>127000</xdr:rowOff>
    </xdr:to>
    <xdr:grpSp>
      <xdr:nvGrpSpPr>
        <xdr:cNvPr id="3" name="Group 74">
          <a:extLst>
            <a:ext uri="{FF2B5EF4-FFF2-40B4-BE49-F238E27FC236}">
              <a16:creationId xmlns:a16="http://schemas.microsoft.com/office/drawing/2014/main" id="{8E1A831E-6239-4075-8546-02862FF3C90E}"/>
            </a:ext>
          </a:extLst>
        </xdr:cNvPr>
        <xdr:cNvGrpSpPr>
          <a:grpSpLocks/>
        </xdr:cNvGrpSpPr>
      </xdr:nvGrpSpPr>
      <xdr:grpSpPr bwMode="auto">
        <a:xfrm>
          <a:off x="19051" y="19050"/>
          <a:ext cx="6483717" cy="1653117"/>
          <a:chOff x="1" y="9"/>
          <a:chExt cx="720" cy="175"/>
        </a:xfrm>
      </xdr:grpSpPr>
      <xdr:pic>
        <xdr:nvPicPr>
          <xdr:cNvPr id="4" name="Image 21" descr="bandeau publication">
            <a:extLst>
              <a:ext uri="{FF2B5EF4-FFF2-40B4-BE49-F238E27FC236}">
                <a16:creationId xmlns:a16="http://schemas.microsoft.com/office/drawing/2014/main" id="{C4D94717-63C4-4025-95EF-79BFB99F59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9"/>
            <a:ext cx="720" cy="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solidFill>
                  <a:srgbClr val="000000"/>
                </a:solidFill>
                <a:miter lim="800000"/>
                <a:headEnd/>
                <a:tailEnd/>
              </a14:hiddenLine>
            </a:ext>
          </a:extLst>
        </xdr:spPr>
      </xdr:pic>
      <xdr:sp macro="" textlink="">
        <xdr:nvSpPr>
          <xdr:cNvPr id="5" name="Text Box 32">
            <a:extLst>
              <a:ext uri="{FF2B5EF4-FFF2-40B4-BE49-F238E27FC236}">
                <a16:creationId xmlns:a16="http://schemas.microsoft.com/office/drawing/2014/main" id="{D64B8618-B54B-49EE-BB40-1A7213255B83}"/>
              </a:ext>
            </a:extLst>
          </xdr:cNvPr>
          <xdr:cNvSpPr txBox="1">
            <a:spLocks noChangeArrowheads="1"/>
          </xdr:cNvSpPr>
        </xdr:nvSpPr>
        <xdr:spPr bwMode="auto">
          <a:xfrm>
            <a:off x="653" y="111"/>
            <a:ext cx="68" cy="73"/>
          </a:xfrm>
          <a:prstGeom prst="rect">
            <a:avLst/>
          </a:prstGeom>
          <a:noFill/>
          <a:ln>
            <a:noFill/>
          </a:ln>
          <a:effectLst/>
        </xdr:spPr>
        <xdr:txBody>
          <a:bodyPr vertOverflow="clip" wrap="square" lIns="36576" tIns="36576" rIns="36576" bIns="36576" anchor="t" upright="1"/>
          <a:lstStyle/>
          <a:p>
            <a:pPr algn="r" rtl="0">
              <a:lnSpc>
                <a:spcPts val="1400"/>
              </a:lnSpc>
              <a:defRPr sz="1000"/>
            </a:pPr>
            <a:r>
              <a:rPr lang="fr-CA" sz="1300" b="1" i="0" u="none" strike="noStrike" baseline="0">
                <a:solidFill>
                  <a:srgbClr val="339966"/>
                </a:solidFill>
                <a:latin typeface="+mn-lt"/>
                <a:cs typeface="Calibri"/>
              </a:rPr>
              <a:t>Vol. 14</a:t>
            </a:r>
          </a:p>
          <a:p>
            <a:pPr algn="r" rtl="0">
              <a:lnSpc>
                <a:spcPts val="1400"/>
              </a:lnSpc>
              <a:defRPr sz="1000"/>
            </a:pPr>
            <a:r>
              <a:rPr lang="fr-CA" sz="1300" b="1" i="0" u="none" strike="noStrike" baseline="0">
                <a:solidFill>
                  <a:srgbClr val="339966"/>
                </a:solidFill>
                <a:latin typeface="+mn-lt"/>
                <a:cs typeface="Calibri"/>
              </a:rPr>
              <a:t>N</a:t>
            </a:r>
            <a:r>
              <a:rPr lang="fr-CA" sz="1300" b="1" i="0" u="none" strike="noStrike" baseline="30000">
                <a:solidFill>
                  <a:srgbClr val="339966"/>
                </a:solidFill>
                <a:latin typeface="+mn-lt"/>
                <a:cs typeface="Calibri"/>
              </a:rPr>
              <a:t>o</a:t>
            </a:r>
            <a:r>
              <a:rPr lang="fr-CA" sz="1300" b="1" i="0" u="none" strike="noStrike" baseline="0">
                <a:solidFill>
                  <a:srgbClr val="339966"/>
                </a:solidFill>
                <a:latin typeface="+mn-lt"/>
                <a:cs typeface="Calibri"/>
              </a:rPr>
              <a:t> 3</a:t>
            </a:r>
          </a:p>
        </xdr:txBody>
      </xdr:sp>
      <xdr:pic>
        <xdr:nvPicPr>
          <xdr:cNvPr id="6" name="Image 24" descr="CDPQ_RVB">
            <a:extLst>
              <a:ext uri="{FF2B5EF4-FFF2-40B4-BE49-F238E27FC236}">
                <a16:creationId xmlns:a16="http://schemas.microsoft.com/office/drawing/2014/main" id="{11A1D4D3-03E7-4DD0-AA1C-A2C80A01E1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09"/>
            <a:ext cx="118" cy="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 Box 33">
            <a:extLst>
              <a:ext uri="{FF2B5EF4-FFF2-40B4-BE49-F238E27FC236}">
                <a16:creationId xmlns:a16="http://schemas.microsoft.com/office/drawing/2014/main" id="{6510B06C-C0E8-450B-AC50-817220979968}"/>
              </a:ext>
            </a:extLst>
          </xdr:cNvPr>
          <xdr:cNvSpPr txBox="1">
            <a:spLocks noChangeArrowheads="1"/>
          </xdr:cNvSpPr>
        </xdr:nvSpPr>
        <xdr:spPr bwMode="auto">
          <a:xfrm>
            <a:off x="3" y="26"/>
            <a:ext cx="557" cy="63"/>
          </a:xfrm>
          <a:prstGeom prst="rect">
            <a:avLst/>
          </a:prstGeom>
          <a:noFill/>
          <a:ln>
            <a:noFill/>
          </a:ln>
          <a:effectLst/>
        </xdr:spPr>
        <xdr:txBody>
          <a:bodyPr vertOverflow="clip" wrap="square" lIns="36576" tIns="36576" rIns="36576" bIns="36576" anchor="t" upright="1"/>
          <a:lstStyle/>
          <a:p>
            <a:pPr algn="l" rtl="0">
              <a:lnSpc>
                <a:spcPts val="1600"/>
              </a:lnSpc>
              <a:defRPr sz="1000"/>
            </a:pPr>
            <a:r>
              <a:rPr lang="fr-CA" sz="1600" b="1" i="0" u="none" strike="noStrike" baseline="0">
                <a:solidFill>
                  <a:srgbClr val="FFFFFF"/>
                </a:solidFill>
                <a:latin typeface="Calibri"/>
                <a:cs typeface="Calibri"/>
              </a:rPr>
              <a:t>Tendances des prix du porc et des aliments</a:t>
            </a:r>
          </a:p>
          <a:p>
            <a:pPr algn="l" rtl="0">
              <a:lnSpc>
                <a:spcPts val="1600"/>
              </a:lnSpc>
              <a:defRPr sz="1000"/>
            </a:pPr>
            <a:r>
              <a:rPr lang="fr-CA" sz="1600" b="1" i="0" u="none" strike="noStrike" baseline="0">
                <a:solidFill>
                  <a:srgbClr val="FFFFFF"/>
                </a:solidFill>
                <a:latin typeface="Calibri"/>
                <a:cs typeface="Calibri"/>
              </a:rPr>
              <a:t>et prévision des compensations ASRA en production porcine</a:t>
            </a:r>
          </a:p>
          <a:p>
            <a:pPr algn="l" rtl="0">
              <a:lnSpc>
                <a:spcPts val="1700"/>
              </a:lnSpc>
              <a:defRPr sz="1000"/>
            </a:pPr>
            <a:endParaRPr lang="fr-CA" sz="1600" b="1" i="0" u="none" strike="noStrike" baseline="0">
              <a:solidFill>
                <a:srgbClr val="FFFFFF"/>
              </a:solidFill>
              <a:latin typeface="Calibri"/>
              <a:cs typeface="Calibri"/>
            </a:endParaRPr>
          </a:p>
        </xdr:txBody>
      </xdr:sp>
      <xdr:sp macro="" textlink="">
        <xdr:nvSpPr>
          <xdr:cNvPr id="8" name="Text Box 34">
            <a:extLst>
              <a:ext uri="{FF2B5EF4-FFF2-40B4-BE49-F238E27FC236}">
                <a16:creationId xmlns:a16="http://schemas.microsoft.com/office/drawing/2014/main" id="{DFA02DA1-6214-41A6-A639-E24AC47738AC}"/>
              </a:ext>
            </a:extLst>
          </xdr:cNvPr>
          <xdr:cNvSpPr txBox="1">
            <a:spLocks noChangeArrowheads="1"/>
          </xdr:cNvSpPr>
        </xdr:nvSpPr>
        <xdr:spPr bwMode="auto">
          <a:xfrm>
            <a:off x="5" y="85"/>
            <a:ext cx="285" cy="29"/>
          </a:xfrm>
          <a:prstGeom prst="rect">
            <a:avLst/>
          </a:prstGeom>
          <a:noFill/>
          <a:ln>
            <a:noFill/>
          </a:ln>
          <a:effectLst/>
        </xdr:spPr>
        <xdr:txBody>
          <a:bodyPr vertOverflow="clip" wrap="square" lIns="36576" tIns="36576" rIns="36576" bIns="36576" anchor="t" upright="1"/>
          <a:lstStyle/>
          <a:p>
            <a:pPr algn="l" rtl="0">
              <a:defRPr sz="1000"/>
            </a:pPr>
            <a:r>
              <a:rPr lang="fr-CA" sz="1000" b="1" i="0" u="none" strike="noStrike" baseline="0">
                <a:solidFill>
                  <a:srgbClr val="FFFFFF"/>
                </a:solidFill>
                <a:latin typeface="Calibri"/>
                <a:cs typeface="Calibri"/>
              </a:rPr>
              <a:t>Feuillet d’information réalisé par le CDPQ</a:t>
            </a:r>
          </a:p>
          <a:p>
            <a:pPr algn="l" rtl="0">
              <a:defRPr sz="1000"/>
            </a:pPr>
            <a:endParaRPr lang="fr-CA" sz="1000" b="1" i="0" u="none" strike="noStrike" baseline="0">
              <a:solidFill>
                <a:srgbClr val="FFFFFF"/>
              </a:solidFill>
              <a:latin typeface="Calibri"/>
              <a:cs typeface="Calibri"/>
            </a:endParaRPr>
          </a:p>
        </xdr:txBody>
      </xdr:sp>
      <xdr:sp macro="" textlink="">
        <xdr:nvSpPr>
          <xdr:cNvPr id="9" name="Text Box 35">
            <a:extLst>
              <a:ext uri="{FF2B5EF4-FFF2-40B4-BE49-F238E27FC236}">
                <a16:creationId xmlns:a16="http://schemas.microsoft.com/office/drawing/2014/main" id="{2FDBEF75-EBB4-4818-AD76-0EBD8CFC049D}"/>
              </a:ext>
            </a:extLst>
          </xdr:cNvPr>
          <xdr:cNvSpPr txBox="1">
            <a:spLocks noChangeArrowheads="1"/>
          </xdr:cNvSpPr>
        </xdr:nvSpPr>
        <xdr:spPr bwMode="auto">
          <a:xfrm>
            <a:off x="416" y="108"/>
            <a:ext cx="140" cy="54"/>
          </a:xfrm>
          <a:prstGeom prst="rect">
            <a:avLst/>
          </a:prstGeom>
          <a:noFill/>
          <a:ln>
            <a:noFill/>
          </a:ln>
          <a:effectLst/>
        </xdr:spPr>
        <xdr:txBody>
          <a:bodyPr vertOverflow="clip" wrap="square" lIns="36576" tIns="36576" rIns="36576" bIns="36576" anchor="t" upright="1"/>
          <a:lstStyle/>
          <a:p>
            <a:pPr algn="r" rtl="0">
              <a:defRPr sz="1000"/>
            </a:pPr>
            <a:r>
              <a:rPr lang="fr-CA" sz="1300" b="1" i="0" strike="noStrike">
                <a:solidFill>
                  <a:srgbClr val="339966"/>
                </a:solidFill>
                <a:latin typeface="+mn-lt"/>
              </a:rPr>
              <a:t>Novembre</a:t>
            </a:r>
          </a:p>
          <a:p>
            <a:pPr algn="r" rtl="0">
              <a:defRPr sz="1000"/>
            </a:pPr>
            <a:r>
              <a:rPr lang="fr-CA" sz="1300" b="1" i="0" strike="noStrike">
                <a:solidFill>
                  <a:srgbClr val="339966"/>
                </a:solidFill>
                <a:latin typeface="+mn-lt"/>
              </a:rPr>
              <a:t>2024</a:t>
            </a:r>
          </a:p>
          <a:p>
            <a:pPr algn="r" rtl="0">
              <a:defRPr sz="1000"/>
            </a:pPr>
            <a:endParaRPr lang="fr-CA" sz="1300" b="1" i="0" strike="noStrike">
              <a:solidFill>
                <a:srgbClr val="339966"/>
              </a:solidFill>
              <a:latin typeface="+mn-lt"/>
            </a:endParaRPr>
          </a:p>
        </xdr:txBody>
      </xdr:sp>
    </xdr:grpSp>
    <xdr:clientData/>
  </xdr:twoCellAnchor>
  <xdr:twoCellAnchor editAs="oneCell">
    <xdr:from>
      <xdr:col>0</xdr:col>
      <xdr:colOff>142875</xdr:colOff>
      <xdr:row>4</xdr:row>
      <xdr:rowOff>28575</xdr:rowOff>
    </xdr:from>
    <xdr:to>
      <xdr:col>8</xdr:col>
      <xdr:colOff>657225</xdr:colOff>
      <xdr:row>50</xdr:row>
      <xdr:rowOff>28575</xdr:rowOff>
    </xdr:to>
    <xdr:sp macro="" textlink="">
      <xdr:nvSpPr>
        <xdr:cNvPr id="10" name="Object 3215" hidden="1">
          <a:extLst>
            <a:ext uri="{FF2B5EF4-FFF2-40B4-BE49-F238E27FC236}">
              <a16:creationId xmlns:a16="http://schemas.microsoft.com/office/drawing/2014/main" id="{D03B4577-C35E-43E9-94BD-61BD1068CCE9}"/>
            </a:ext>
          </a:extLst>
        </xdr:cNvPr>
        <xdr:cNvSpPr>
          <a:spLocks noChangeArrowheads="1"/>
        </xdr:cNvSpPr>
      </xdr:nvSpPr>
      <xdr:spPr bwMode="auto">
        <a:xfrm>
          <a:off x="142875" y="2095500"/>
          <a:ext cx="6305550" cy="744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106</xdr:row>
      <xdr:rowOff>0</xdr:rowOff>
    </xdr:from>
    <xdr:to>
      <xdr:col>8</xdr:col>
      <xdr:colOff>657225</xdr:colOff>
      <xdr:row>142</xdr:row>
      <xdr:rowOff>38101</xdr:rowOff>
    </xdr:to>
    <xdr:sp macro="" textlink="">
      <xdr:nvSpPr>
        <xdr:cNvPr id="11" name="Object 3218" hidden="1">
          <a:extLst>
            <a:ext uri="{FF2B5EF4-FFF2-40B4-BE49-F238E27FC236}">
              <a16:creationId xmlns:a16="http://schemas.microsoft.com/office/drawing/2014/main" id="{0C772F85-BDED-420A-BCFE-6D2C6D96F3D9}"/>
            </a:ext>
          </a:extLst>
        </xdr:cNvPr>
        <xdr:cNvSpPr>
          <a:spLocks noChangeArrowheads="1"/>
        </xdr:cNvSpPr>
      </xdr:nvSpPr>
      <xdr:spPr bwMode="auto">
        <a:xfrm>
          <a:off x="142875" y="18583275"/>
          <a:ext cx="6305550" cy="586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142875</xdr:colOff>
      <xdr:row>54</xdr:row>
      <xdr:rowOff>0</xdr:rowOff>
    </xdr:from>
    <xdr:ext cx="6283779" cy="5916386"/>
    <xdr:sp macro="" textlink="">
      <xdr:nvSpPr>
        <xdr:cNvPr id="12" name="Object 3218" hidden="1">
          <a:extLst>
            <a:ext uri="{FF2B5EF4-FFF2-40B4-BE49-F238E27FC236}">
              <a16:creationId xmlns:a16="http://schemas.microsoft.com/office/drawing/2014/main" id="{C5817DA3-EC8D-4399-BBF6-D053FE36DCBD}"/>
            </a:ext>
          </a:extLst>
        </xdr:cNvPr>
        <xdr:cNvSpPr>
          <a:spLocks noChangeArrowheads="1"/>
        </xdr:cNvSpPr>
      </xdr:nvSpPr>
      <xdr:spPr bwMode="auto">
        <a:xfrm>
          <a:off x="142875" y="10163175"/>
          <a:ext cx="6283779" cy="5916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42334</xdr:colOff>
      <xdr:row>2</xdr:row>
      <xdr:rowOff>31753</xdr:rowOff>
    </xdr:from>
    <xdr:to>
      <xdr:col>9</xdr:col>
      <xdr:colOff>10584</xdr:colOff>
      <xdr:row>52</xdr:row>
      <xdr:rowOff>127000</xdr:rowOff>
    </xdr:to>
    <xdr:sp macro="" textlink="">
      <xdr:nvSpPr>
        <xdr:cNvPr id="13" name="ZoneTexte 12">
          <a:extLst>
            <a:ext uri="{FF2B5EF4-FFF2-40B4-BE49-F238E27FC236}">
              <a16:creationId xmlns:a16="http://schemas.microsoft.com/office/drawing/2014/main" id="{016AAEA8-9C7A-42F1-8939-C5A4945B86AC}"/>
            </a:ext>
          </a:extLst>
        </xdr:cNvPr>
        <xdr:cNvSpPr txBox="1"/>
      </xdr:nvSpPr>
      <xdr:spPr>
        <a:xfrm>
          <a:off x="42334" y="1778003"/>
          <a:ext cx="6477000" cy="8043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CA" sz="1000">
              <a:effectLst/>
              <a:latin typeface="Arial" panose="020B0604020202020204" pitchFamily="34" charset="0"/>
              <a:ea typeface="Times New Roman" panose="02020603050405020304" pitchFamily="18" charset="0"/>
            </a:rPr>
            <a:t>Le CDPQ met à votre disposition un outil Excel qui vous aidera dans la réalisation de vos budgets en production porcine pour les années 2024 et 2025, que ce soit pour un budget annuel ou de trésorerie.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Cet outil simple permet d’établir le lien entre un prix du porc « x » et un coût d’alimentation « y » et la compensation d’assurance stabilisation des revenus agricoles (ASRA) qui y sera théoriquement rattachée. De plus, vous pourrez générer vos prévisions mensuelles de prix de moulées ou de grains à partir de votre propre coût d’alimentation de l’année précédente (2023).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r>
            <a:rPr lang="fr-CA" sz="1000">
              <a:solidFill>
                <a:srgbClr val="984806"/>
              </a:solidFill>
              <a:effectLst/>
              <a:latin typeface="Arial" panose="020B0604020202020204" pitchFamily="34" charset="0"/>
              <a:ea typeface="Times New Roman" panose="02020603050405020304" pitchFamily="18" charset="0"/>
            </a:rPr>
            <a:t>Il convient de souligner que les calculs de cette édition sont basés sur le modèle 2022 indexé de La Financière agricole du Québec (FADQ), et, plus précisément, sur les données préliminaires du coût de production 2024 que la FADQ nous a fournies en octobre 2024.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Depuis le 23 avril 2023, la Convention de mise en marché des porcs 2023-2026 s’applique. Le prix de base des porcs, fixé au cours de la première année de la convention correspond à 85 % de la valeur reconstituée d’une carcasse de porc aux États-Unis et augmentera progressivement pour atteindre 88 % dès la troisième année jusqu’à la fin de la convention, le 26 avril 2026. Les prévisions du CDPQ tiennent compte de l’évolution des contrats à terme de la valeur de la carcasse reconstituée (</a:t>
          </a:r>
          <a:r>
            <a:rPr lang="fr-CA" sz="1000" i="1">
              <a:effectLst/>
              <a:latin typeface="Arial" panose="020B0604020202020204" pitchFamily="34" charset="0"/>
              <a:ea typeface="Times New Roman" panose="02020603050405020304" pitchFamily="18" charset="0"/>
            </a:rPr>
            <a:t>pork cutout</a:t>
          </a:r>
          <a:r>
            <a:rPr lang="fr-CA" sz="1000">
              <a:effectLst/>
              <a:latin typeface="Arial" panose="020B0604020202020204" pitchFamily="34" charset="0"/>
              <a:ea typeface="Times New Roman" panose="02020603050405020304" pitchFamily="18" charset="0"/>
            </a:rPr>
            <a:t>) afin d’estimer leur effet sur le prix au Québec.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En outre, depuis le début de mars 2022, des réductions temporaires au prix des porcs ont été appliquées dans un contexte de réduction de la capacité d’abattages au Québec. Cette édition présente des prévisions de prix tenant compte de ces réductions. </a:t>
          </a:r>
          <a:r>
            <a:rPr lang="fr-CA" sz="1000" b="1">
              <a:effectLst/>
              <a:latin typeface="Arial" panose="020B0604020202020204" pitchFamily="34" charset="0"/>
              <a:ea typeface="Times New Roman" panose="02020603050405020304" pitchFamily="18" charset="0"/>
            </a:rPr>
            <a:t>Nous invitons le lecteur à prendre connaissance de l’onglet « Réduction du prix des porcs » afin de bien comprendre comment elles ont été évaluées.</a:t>
          </a:r>
          <a:r>
            <a:rPr lang="fr-CA" sz="1000">
              <a:effectLst/>
              <a:latin typeface="Arial" panose="020B0604020202020204" pitchFamily="34" charset="0"/>
              <a:ea typeface="Times New Roman" panose="02020603050405020304" pitchFamily="18" charset="0"/>
            </a:rPr>
            <a:t> À noter que beaucoup d’inconnues demeurent et que les modalités d’application pourraient changer. </a:t>
          </a:r>
          <a:r>
            <a:rPr lang="fr-CA" sz="1000">
              <a:solidFill>
                <a:srgbClr val="984806"/>
              </a:solidFill>
              <a:effectLst/>
              <a:latin typeface="Arial" panose="020B0604020202020204" pitchFamily="34" charset="0"/>
              <a:ea typeface="Times New Roman" panose="02020603050405020304" pitchFamily="18" charset="0"/>
            </a:rPr>
            <a:t>Notamment, cet outil ne tient pas en compte, pour les éleveurs qui seront touchés, de la hausse éventuelle des frais de transport vers un autre abattoir que Vallée-Jonction.</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r>
            <a:rPr lang="fr-CA" sz="1000" b="1">
              <a:effectLst/>
              <a:latin typeface="Arial" panose="020B0604020202020204" pitchFamily="34" charset="0"/>
              <a:ea typeface="Times New Roman" panose="02020603050405020304" pitchFamily="18" charset="0"/>
            </a:rPr>
            <a:t>Mises en garde</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342900" lvl="0" indent="-342900" algn="just">
            <a:buFont typeface="+mj-lt"/>
            <a:buAutoNum type="arabicPeriod"/>
            <a:tabLst>
              <a:tab pos="457200" algn="l"/>
            </a:tabLst>
          </a:pPr>
          <a:r>
            <a:rPr lang="fr-FR" sz="1000">
              <a:effectLst/>
              <a:latin typeface="Arial" panose="020B0604020202020204" pitchFamily="34" charset="0"/>
              <a:ea typeface="Times New Roman" panose="02020603050405020304" pitchFamily="18" charset="0"/>
            </a:rPr>
            <a:t>Nous devons travailler avec des indices de prix établis à partir de références publiques. Nous vous invitons à faire de même, puisque le coût des aliments varie d’une ferme à l’autre, en fonction de votre région, de votre fournisseur d’intrants, de vos recettes, de vos politiques de paiements, etc. L’hypothèse retenue est que si le prix de référence (+ la base moyenne des cinq années précédentes) augmente de 10 %, le prix variera aussi de 10 % chez vous, que vous soyez en Beauce, en Montérégie ou ailleurs au Québec. Le prix de référence provient des données de la Bourse de Chicago (CME Group) pour le maïs, le tourteau de soja et la carcasse de porc, </a:t>
          </a:r>
          <a:r>
            <a:rPr lang="fr-FR" sz="1000">
              <a:solidFill>
                <a:srgbClr val="984806"/>
              </a:solidFill>
              <a:effectLst/>
              <a:latin typeface="Arial" panose="020B0604020202020204" pitchFamily="34" charset="0"/>
              <a:ea typeface="Times New Roman" panose="02020603050405020304" pitchFamily="18" charset="0"/>
            </a:rPr>
            <a:t>en utilisant la moyenne de valeurs de fermeture de quatre dates, soit les 4, 11, 18 et 25 octobre, afin de réduire l’effet de la volatilité quotidienne pouvant toucher ces données.</a:t>
          </a:r>
          <a:endParaRPr lang="fr-CA" sz="1200">
            <a:effectLst/>
            <a:latin typeface="Times New Roman" panose="02020603050405020304" pitchFamily="18" charset="0"/>
            <a:ea typeface="Times New Roman" panose="02020603050405020304" pitchFamily="18" charset="0"/>
          </a:endParaRPr>
        </a:p>
        <a:p>
          <a:pPr algn="just"/>
          <a:r>
            <a:rPr lang="fr-FR"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342900" lvl="0" indent="-342900" algn="just">
            <a:buFont typeface="+mj-lt"/>
            <a:buAutoNum type="arabicPeriod" startAt="2"/>
            <a:tabLst>
              <a:tab pos="457200" algn="l"/>
            </a:tabLst>
          </a:pPr>
          <a:r>
            <a:rPr lang="fr-FR" sz="1000">
              <a:effectLst/>
              <a:latin typeface="Arial" panose="020B0604020202020204" pitchFamily="34" charset="0"/>
              <a:ea typeface="Times New Roman" panose="02020603050405020304" pitchFamily="18" charset="0"/>
            </a:rPr>
            <a:t>Les suggestions indicielles présentées ici sont en fonction des marchés à terme et autres données disponibles. </a:t>
          </a:r>
          <a:r>
            <a:rPr lang="fr-FR" sz="1000" b="1">
              <a:effectLst/>
              <a:latin typeface="Arial" panose="020B0604020202020204" pitchFamily="34" charset="0"/>
              <a:ea typeface="Times New Roman" panose="02020603050405020304" pitchFamily="18" charset="0"/>
            </a:rPr>
            <a:t>Avec des marchés extrêmement volatils, ces prévisions ne constituent pas une certitude, mais un état de la situation à une date donnée. L’objectif est </a:t>
          </a:r>
          <a:r>
            <a:rPr lang="fr-FR" sz="1000" b="1" u="sng">
              <a:effectLst/>
              <a:latin typeface="Arial" panose="020B0604020202020204" pitchFamily="34" charset="0"/>
              <a:ea typeface="Times New Roman" panose="02020603050405020304" pitchFamily="18" charset="0"/>
            </a:rPr>
            <a:t>d’arrimer</a:t>
          </a:r>
          <a:r>
            <a:rPr lang="fr-FR" sz="1000" b="1">
              <a:effectLst/>
              <a:latin typeface="Arial" panose="020B0604020202020204" pitchFamily="34" charset="0"/>
              <a:ea typeface="Times New Roman" panose="02020603050405020304" pitchFamily="18" charset="0"/>
            </a:rPr>
            <a:t> la compensation d’ASRA d’une entreprise avec ses propres prix de marché pour la réalisation de budgets</a:t>
          </a:r>
          <a:r>
            <a:rPr lang="fr-FR" sz="1000">
              <a:effectLst/>
              <a:latin typeface="Arial" panose="020B0604020202020204" pitchFamily="34" charset="0"/>
              <a:ea typeface="Times New Roman" panose="02020603050405020304" pitchFamily="18" charset="0"/>
            </a:rPr>
            <a:t>.</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342900" lvl="0" indent="-342900" algn="just">
            <a:buFont typeface="+mj-lt"/>
            <a:buAutoNum type="arabicPeriod" startAt="3"/>
            <a:tabLst>
              <a:tab pos="457200" algn="l"/>
            </a:tabLst>
          </a:pPr>
          <a:r>
            <a:rPr lang="fr-FR" sz="1000">
              <a:effectLst/>
              <a:latin typeface="Arial" panose="020B0604020202020204" pitchFamily="34" charset="0"/>
              <a:ea typeface="Times New Roman" panose="02020603050405020304" pitchFamily="18" charset="0"/>
            </a:rPr>
            <a:t>Aussi, si vous procédez à des améliorations techniques à la ferme, ou si le producteur que vous conseillez négocie un escompte différent de celui de l’année précédente, vous devrez en tenir compte dans votre budget. Il en sera de même si vous apportez des modifications aux recettes, car cela a un effet sur le prix.</a:t>
          </a:r>
          <a:endParaRPr lang="fr-FR" sz="1000">
            <a:solidFill>
              <a:schemeClr val="dk1"/>
            </a:solidFill>
            <a:effectLst/>
            <a:latin typeface="Arial" panose="020B0604020202020204" pitchFamily="34" charset="0"/>
            <a:ea typeface="Times New Roman" panose="02020603050405020304" pitchFamily="18" charset="0"/>
            <a:cs typeface="+mn-cs"/>
          </a:endParaRPr>
        </a:p>
        <a:p>
          <a:pPr marL="342900" lvl="0" indent="-342900" algn="just">
            <a:buFont typeface="+mj-lt"/>
            <a:buAutoNum type="arabicPeriod" startAt="3"/>
            <a:tabLst>
              <a:tab pos="457200" algn="l"/>
            </a:tabLst>
          </a:pPr>
          <a:endParaRPr lang="fr-CA" sz="10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buFont typeface="+mj-lt"/>
            <a:buAutoNum type="arabicPeriod" startAt="4"/>
            <a:tabLst>
              <a:tab pos="457200" algn="l"/>
            </a:tabLst>
          </a:pPr>
          <a:r>
            <a:rPr lang="fr-FR" sz="1000">
              <a:solidFill>
                <a:srgbClr val="984806"/>
              </a:solidFill>
              <a:effectLst/>
              <a:latin typeface="Arial" panose="020B0604020202020204" pitchFamily="34" charset="0"/>
              <a:ea typeface="Times New Roman" panose="02020603050405020304" pitchFamily="18" charset="0"/>
            </a:rPr>
            <a:t>Les données préliminaires du programme ASRA pour l'année 2024, basées sur le modèle 2022 de la ferme porcine, ont été fournies par la FADQ en octobre 2024 et actualisées dans la publication Men$uel PORC.</a:t>
          </a:r>
          <a:r>
            <a:rPr lang="fr-CA" sz="1000">
              <a:effectLst/>
              <a:latin typeface="Arial" panose="020B0604020202020204" pitchFamily="34" charset="0"/>
              <a:ea typeface="Times New Roman" panose="02020603050405020304" pitchFamily="18" charset="0"/>
            </a:rPr>
            <a:t> Ces données ont servi de référence pour les prévisions des années 2024 et 2025. Parmi les ajustements notables par rapport au modèle 2017, le poids de vente dans le cadre de l’ASRA a été révisé à 112,9 kg carcasse, contre 107,6 kg carcasse (annualisé) auparavant. De plus, le nombre de porcs assurables a été révisé de 7 436 (annualisé) à 9 364 porcs.</a:t>
          </a:r>
          <a:r>
            <a:rPr lang="fr-CA" sz="1000">
              <a:effectLst/>
              <a:highlight>
                <a:srgbClr val="00FFFF"/>
              </a:highligh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0" lvl="0" indent="0" algn="just">
            <a:buFont typeface="Arial" panose="020B0604020202020204" pitchFamily="34" charset="0"/>
            <a:buNone/>
          </a:pPr>
          <a:endParaRPr lang="fr-CA" sz="100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52295</xdr:colOff>
      <xdr:row>54</xdr:row>
      <xdr:rowOff>121397</xdr:rowOff>
    </xdr:from>
    <xdr:to>
      <xdr:col>8</xdr:col>
      <xdr:colOff>750172</xdr:colOff>
      <xdr:row>102</xdr:row>
      <xdr:rowOff>131980</xdr:rowOff>
    </xdr:to>
    <xdr:sp macro="" textlink="">
      <xdr:nvSpPr>
        <xdr:cNvPr id="14" name="ZoneTexte 13">
          <a:extLst>
            <a:ext uri="{FF2B5EF4-FFF2-40B4-BE49-F238E27FC236}">
              <a16:creationId xmlns:a16="http://schemas.microsoft.com/office/drawing/2014/main" id="{00C84D37-6A7F-4FA9-AE08-DAA121E5BA78}"/>
            </a:ext>
          </a:extLst>
        </xdr:cNvPr>
        <xdr:cNvSpPr txBox="1"/>
      </xdr:nvSpPr>
      <xdr:spPr>
        <a:xfrm>
          <a:off x="52295" y="10038603"/>
          <a:ext cx="6524936" cy="7540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algn="just">
            <a:lnSpc>
              <a:spcPct val="100000"/>
            </a:lnSpc>
            <a:spcAft>
              <a:spcPts val="0"/>
            </a:spcAft>
            <a:tabLst>
              <a:tab pos="457200" algn="l"/>
            </a:tabLst>
          </a:pPr>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457200" algn="just">
            <a:lnSpc>
              <a:spcPct val="100000"/>
            </a:lnSpc>
            <a:spcAft>
              <a:spcPts val="0"/>
            </a:spcAft>
          </a:pPr>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342900" lvl="0" indent="-342900" algn="just">
            <a:lnSpc>
              <a:spcPct val="100000"/>
            </a:lnSpc>
            <a:spcAft>
              <a:spcPts val="0"/>
            </a:spcAft>
            <a:buClrTx/>
            <a:buFont typeface="+mj-lt"/>
            <a:buAutoNum type="arabicPeriod" startAt="5"/>
            <a:tabLst>
              <a:tab pos="457200" algn="l"/>
            </a:tabLst>
          </a:pPr>
          <a:r>
            <a:rPr lang="fr-FR" sz="1000">
              <a:solidFill>
                <a:srgbClr val="984806"/>
              </a:solidFill>
              <a:effectLst/>
              <a:latin typeface="Arial" panose="020B0604020202020204" pitchFamily="34" charset="0"/>
              <a:ea typeface="Times New Roman" panose="02020603050405020304" pitchFamily="18" charset="0"/>
            </a:rPr>
            <a:t>Veuillez noter que nous n’avons pas indexé le prix des </a:t>
          </a:r>
          <a:r>
            <a:rPr lang="fr-FR" sz="1000" b="1">
              <a:solidFill>
                <a:srgbClr val="984806"/>
              </a:solidFill>
              <a:effectLst/>
              <a:latin typeface="Arial" panose="020B0604020202020204" pitchFamily="34" charset="0"/>
              <a:ea typeface="Times New Roman" panose="02020603050405020304" pitchFamily="18" charset="0"/>
            </a:rPr>
            <a:t>carburants et du propane</a:t>
          </a:r>
          <a:r>
            <a:rPr lang="fr-FR" sz="1000">
              <a:solidFill>
                <a:srgbClr val="984806"/>
              </a:solidFill>
              <a:effectLst/>
              <a:latin typeface="Arial" panose="020B0604020202020204" pitchFamily="34" charset="0"/>
              <a:ea typeface="Times New Roman" panose="02020603050405020304" pitchFamily="18" charset="0"/>
            </a:rPr>
            <a:t> pour 2024 et 2025, par rapport à 2023. En revanche, nous avons indexé les </a:t>
          </a:r>
          <a:r>
            <a:rPr lang="fr-FR" sz="1000" b="1">
              <a:solidFill>
                <a:srgbClr val="984806"/>
              </a:solidFill>
              <a:effectLst/>
              <a:latin typeface="Arial" panose="020B0604020202020204" pitchFamily="34" charset="0"/>
              <a:ea typeface="Times New Roman" panose="02020603050405020304" pitchFamily="18" charset="0"/>
            </a:rPr>
            <a:t>coûts autres que ceux de l’énergie et de l’alimentation</a:t>
          </a:r>
          <a:r>
            <a:rPr lang="fr-FR" sz="1000">
              <a:solidFill>
                <a:srgbClr val="984806"/>
              </a:solidFill>
              <a:effectLst/>
              <a:latin typeface="Arial" panose="020B0604020202020204" pitchFamily="34" charset="0"/>
              <a:ea typeface="Times New Roman" panose="02020603050405020304" pitchFamily="18" charset="0"/>
            </a:rPr>
            <a:t>, de 2,5</a:t>
          </a:r>
          <a:r>
            <a:rPr lang="fr-FR" sz="1000" b="1">
              <a:solidFill>
                <a:srgbClr val="984806"/>
              </a:solidFill>
              <a:effectLst/>
              <a:latin typeface="Arial" panose="020B0604020202020204" pitchFamily="34" charset="0"/>
              <a:ea typeface="Times New Roman" panose="02020603050405020304" pitchFamily="18" charset="0"/>
            </a:rPr>
            <a:t> %</a:t>
          </a:r>
          <a:r>
            <a:rPr lang="fr-FR" sz="1000">
              <a:solidFill>
                <a:srgbClr val="984806"/>
              </a:solidFill>
              <a:effectLst/>
              <a:latin typeface="Arial" panose="020B0604020202020204" pitchFamily="34" charset="0"/>
              <a:ea typeface="Times New Roman" panose="02020603050405020304" pitchFamily="18" charset="0"/>
            </a:rPr>
            <a:t>. </a:t>
          </a:r>
          <a:r>
            <a:rPr lang="fr-FR" sz="1000">
              <a:effectLst/>
              <a:latin typeface="Arial" panose="020B0604020202020204" pitchFamily="34" charset="0"/>
              <a:ea typeface="Times New Roman" panose="02020603050405020304" pitchFamily="18" charset="0"/>
            </a:rPr>
            <a:t>Ceci, afin de refléter le contexte actuel, où l’inflation sur le coût de l’énergie est en forte diminution tandis qu’une certaine inflation demeure dans le second cas. Ceci nous apparaissait plus judicieux que de n’indexer que le coût d’alimentation et le prix du porc comme dans les éditions précédentes. Nous vous invitons à faire de même à l’intérieur de vos budgets.</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342900" lvl="0" indent="-342900" algn="just">
            <a:lnSpc>
              <a:spcPct val="100000"/>
            </a:lnSpc>
            <a:spcAft>
              <a:spcPts val="0"/>
            </a:spcAft>
            <a:buFont typeface="+mj-lt"/>
            <a:buAutoNum type="arabicPeriod" startAt="6"/>
            <a:tabLst>
              <a:tab pos="457200" algn="l"/>
            </a:tabLst>
          </a:pPr>
          <a:r>
            <a:rPr lang="fr-FR" sz="1000">
              <a:effectLst/>
              <a:latin typeface="Arial" panose="020B0604020202020204" pitchFamily="34" charset="0"/>
              <a:ea typeface="Times New Roman" panose="02020603050405020304" pitchFamily="18" charset="0"/>
            </a:rPr>
            <a:t>Les indices ont été calculés en y incluant un taux de change par rapport au dollar américain pour 2024 et 2025. Les taux utilisés sont indiqués à l’onglet « Résultats vs 2023 ».</a:t>
          </a:r>
          <a:endParaRPr lang="fr-CA" sz="1200">
            <a:effectLst/>
            <a:latin typeface="Times New Roman" panose="02020603050405020304" pitchFamily="18" charset="0"/>
            <a:ea typeface="Times New Roman" panose="02020603050405020304" pitchFamily="18" charset="0"/>
          </a:endParaRPr>
        </a:p>
        <a:p>
          <a:pPr marL="457200" algn="just">
            <a:lnSpc>
              <a:spcPct val="100000"/>
            </a:lnSpc>
            <a:spcAft>
              <a:spcPts val="0"/>
            </a:spcAft>
            <a:tabLst>
              <a:tab pos="457200" algn="l"/>
            </a:tabLst>
          </a:pPr>
          <a:r>
            <a:rPr lang="fr-FR"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marL="342900" lvl="0" indent="-342900" algn="just">
            <a:lnSpc>
              <a:spcPct val="100000"/>
            </a:lnSpc>
            <a:spcAft>
              <a:spcPts val="0"/>
            </a:spcAft>
            <a:buFont typeface="+mj-lt"/>
            <a:buAutoNum type="arabicPeriod" startAt="7"/>
            <a:tabLst>
              <a:tab pos="457200" algn="l"/>
            </a:tabLst>
          </a:pPr>
          <a:r>
            <a:rPr lang="fr-FR" sz="1000">
              <a:effectLst/>
              <a:latin typeface="Arial" panose="020B0604020202020204" pitchFamily="34" charset="0"/>
              <a:ea typeface="Times New Roman" panose="02020603050405020304" pitchFamily="18" charset="0"/>
              <a:cs typeface="Times New Roman" panose="02020603050405020304" pitchFamily="18" charset="0"/>
            </a:rPr>
            <a:t>Nous avons également pris en compte la suspension du programme Agri-Québec pour les productions animales couvertes par l’ASRA, décision de la FADQ qui entraine une hausse du prix stabilisé ajusté. </a:t>
          </a:r>
          <a:r>
            <a:rPr lang="fr-FR" sz="1000">
              <a:solidFill>
                <a:srgbClr val="984806"/>
              </a:solidFill>
              <a:effectLst/>
              <a:latin typeface="Arial" panose="020B0604020202020204" pitchFamily="34" charset="0"/>
              <a:ea typeface="Times New Roman" panose="02020603050405020304" pitchFamily="18" charset="0"/>
              <a:cs typeface="Times New Roman" panose="02020603050405020304" pitchFamily="18" charset="0"/>
            </a:rPr>
            <a:t>Pour 2024, nous avons retenu le montant d'Agri-investissement de 1,61 $/porc, basé sur les prévisions fournies par la FADQ en octobre 2024.</a:t>
          </a:r>
          <a:r>
            <a:rPr lang="fr-FR" sz="1000">
              <a:effectLst/>
              <a:latin typeface="Arial" panose="020B0604020202020204" pitchFamily="34" charset="0"/>
              <a:ea typeface="Times New Roman" panose="02020603050405020304" pitchFamily="18" charset="0"/>
              <a:cs typeface="Times New Roman" panose="02020603050405020304" pitchFamily="18" charset="0"/>
            </a:rPr>
            <a:t> Cette compensation se réfère uniquement au montant d’Agri-investissement pour 2024, puisque celui de 2023 a déjà été alloué. </a:t>
          </a:r>
          <a:r>
            <a:rPr lang="fr-FR" sz="1000">
              <a:solidFill>
                <a:srgbClr val="984806"/>
              </a:solidFill>
              <a:effectLst/>
              <a:latin typeface="Arial" panose="020B0604020202020204" pitchFamily="34" charset="0"/>
              <a:ea typeface="Times New Roman" panose="02020603050405020304" pitchFamily="18" charset="0"/>
              <a:cs typeface="Times New Roman" panose="02020603050405020304" pitchFamily="18" charset="0"/>
            </a:rPr>
            <a:t>Pour 2025, nous avons également estimé un montant de 1,61 $/porc</a:t>
          </a:r>
          <a:r>
            <a:rPr lang="fr-FR" sz="1000">
              <a:effectLst/>
              <a:latin typeface="Arial" panose="020B0604020202020204" pitchFamily="34" charset="0"/>
              <a:ea typeface="Times New Roman" panose="02020603050405020304" pitchFamily="18" charset="0"/>
              <a:cs typeface="Times New Roman" panose="02020603050405020304" pitchFamily="18" charset="0"/>
            </a:rPr>
            <a:t>, bien que les marchés à terme anticipent une légère hausse du prix des porcs, combinée à une réduction du coût de l’alimentation animale similaire à celle de 2024. Cette situation s'explique par le plafonnement des contributions gouvernementales à ce programme, qui, vu l’application du modèle 2022 indexé du coût de production de la ferme porcine naisseur-finisseur, atteindrait son maximum. </a:t>
          </a:r>
          <a:r>
            <a:rPr lang="fr-FR" sz="1000">
              <a:solidFill>
                <a:srgbClr val="984806"/>
              </a:solidFill>
              <a:effectLst/>
              <a:latin typeface="Arial" panose="020B0604020202020204" pitchFamily="34" charset="0"/>
              <a:ea typeface="Times New Roman" panose="02020603050405020304" pitchFamily="18" charset="0"/>
              <a:cs typeface="Times New Roman" panose="02020603050405020304" pitchFamily="18" charset="0"/>
            </a:rPr>
            <a:t>En conséquence, seul ce montant d’Agri-investissement estimé pour 2025 réduirait l'ASRA disponible, puisque celui de 2024 sera déjà utilisé, selon les prévisions actuelles. </a:t>
          </a:r>
          <a:endParaRPr lang="fr-CA"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0000"/>
            </a:lnSpc>
            <a:spcAft>
              <a:spcPts val="0"/>
            </a:spcAft>
          </a:pPr>
          <a:r>
            <a:rPr lang="fr-FR" sz="1000">
              <a:solidFill>
                <a:srgbClr val="984806"/>
              </a:solidFill>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b="1">
              <a:effectLst/>
              <a:latin typeface="Arial" panose="020B0604020202020204" pitchFamily="34" charset="0"/>
              <a:ea typeface="Times New Roman" panose="02020603050405020304" pitchFamily="18" charset="0"/>
            </a:rPr>
            <a:t>Méthode d’utilisation</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Dans l’onglet « Résultats vs 2023 », le tableau « Tendance des prix » indique les indices mensuels, trimestriels et annuels (2024 et 2025) de variation du prix du porc et des aliments. Si vous saisissez votre prix moyen de 2023 dans la cellule verte de l’aliment correspondant, vous obtiendrez les prix à utiliser pour votre budget. </a:t>
          </a:r>
          <a:r>
            <a:rPr lang="fr-CA" sz="1000" b="1">
              <a:solidFill>
                <a:srgbClr val="984806"/>
              </a:solidFill>
              <a:effectLst/>
              <a:latin typeface="Arial" panose="020B0604020202020204" pitchFamily="34" charset="0"/>
              <a:ea typeface="Times New Roman" panose="02020603050405020304" pitchFamily="18" charset="0"/>
            </a:rPr>
            <a:t>La colonne « porc » génère des prix dans une colonne qui estime l’effet des réductions de prix qui pourraient s’appliquer en 2024 et en 2025, selon les informations disponibles actuellement.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À noter que</a:t>
          </a:r>
          <a:r>
            <a:rPr lang="fr-CA" sz="1000" b="1">
              <a:effectLst/>
              <a:latin typeface="Arial" panose="020B0604020202020204" pitchFamily="34" charset="0"/>
              <a:ea typeface="Times New Roman" panose="02020603050405020304" pitchFamily="18" charset="0"/>
            </a:rPr>
            <a:t> </a:t>
          </a:r>
          <a:r>
            <a:rPr lang="fr-CA" sz="1000">
              <a:effectLst/>
              <a:latin typeface="Arial" panose="020B0604020202020204" pitchFamily="34" charset="0"/>
              <a:ea typeface="Times New Roman" panose="02020603050405020304" pitchFamily="18" charset="0"/>
            </a:rPr>
            <a:t>pour 2023, vous pouvez obtenir un prix moyen différent du prix moyen annuel selon vos volumes de ventes/mois ou d’achats/mois. Important : le calcul des indices, tant pour 2024 que pour 2025, est effectué à partir du prix moyen de 2023; donc, il vous faut utiliser cette donnée comme référence pour votre ferme et non pas le prix du dernier mois, par exemple.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Pour les prémix et minéraux, l’indexation retenue est de -1 %.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r>
            <a:rPr lang="fr-CA" sz="1000">
              <a:effectLst/>
              <a:latin typeface="Arial" panose="020B0604020202020204" pitchFamily="34" charset="0"/>
              <a:ea typeface="Times New Roman" panose="02020603050405020304" pitchFamily="18" charset="0"/>
            </a:rPr>
            <a:t>Si vous désirez travailler sur les coûts d’alimentation globaux, nous avons inscrit sous le tableau « Tendance des prix » l’indexation globale pour l’alimentation de toute l’année. Cependant, ce résultat, soit -15,3 % d’indexation en 2024, ne s’applique que si vous avez une ferme de type naisseur-finisseur. </a:t>
          </a:r>
          <a:endParaRPr lang="fr-CA" sz="1200">
            <a:effectLst/>
            <a:latin typeface="Times New Roman" panose="02020603050405020304" pitchFamily="18" charset="0"/>
            <a:ea typeface="Times New Roman" panose="02020603050405020304" pitchFamily="18" charset="0"/>
          </a:endParaRPr>
        </a:p>
        <a:p>
          <a:pPr algn="just">
            <a:lnSpc>
              <a:spcPct val="100000"/>
            </a:lnSpc>
            <a:spcAft>
              <a:spcPts val="0"/>
            </a:spcAft>
          </a:pPr>
          <a:endParaRPr lang="fr-CA" sz="10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37731</xdr:colOff>
      <xdr:row>105</xdr:row>
      <xdr:rowOff>150927</xdr:rowOff>
    </xdr:from>
    <xdr:to>
      <xdr:col>8</xdr:col>
      <xdr:colOff>736231</xdr:colOff>
      <xdr:row>156</xdr:row>
      <xdr:rowOff>157369</xdr:rowOff>
    </xdr:to>
    <xdr:sp macro="" textlink="">
      <xdr:nvSpPr>
        <xdr:cNvPr id="15" name="ZoneTexte 14">
          <a:extLst>
            <a:ext uri="{FF2B5EF4-FFF2-40B4-BE49-F238E27FC236}">
              <a16:creationId xmlns:a16="http://schemas.microsoft.com/office/drawing/2014/main" id="{91AD2EB2-B6A7-446F-A376-E217D2585BB5}"/>
            </a:ext>
          </a:extLst>
        </xdr:cNvPr>
        <xdr:cNvSpPr txBox="1"/>
      </xdr:nvSpPr>
      <xdr:spPr>
        <a:xfrm>
          <a:off x="37731" y="18944166"/>
          <a:ext cx="6463196" cy="8454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CA" sz="1000">
              <a:effectLst/>
              <a:latin typeface="Arial" panose="020B0604020202020204" pitchFamily="34" charset="0"/>
              <a:ea typeface="Times New Roman" panose="02020603050405020304" pitchFamily="18" charset="0"/>
            </a:rPr>
            <a:t>Finalement, au bas de ces tableaux vous trouverez les prévisions des compensations et des cotisations ASRA à employer pour vos budgets si vous utilisez ces indices. Pour 2024 et 2025, </a:t>
          </a:r>
          <a:r>
            <a:rPr lang="fr-CA" sz="1000">
              <a:solidFill>
                <a:srgbClr val="984806"/>
              </a:solidFill>
              <a:effectLst/>
              <a:latin typeface="Arial" panose="020B0604020202020204" pitchFamily="34" charset="0"/>
              <a:ea typeface="Times New Roman" panose="02020603050405020304" pitchFamily="18" charset="0"/>
            </a:rPr>
            <a:t>nous avons retenu la cotisation de 2024 présentée dans la mise à jour des résultats prévisionnels de 2024 fournie par la FADQ en octobre, </a:t>
          </a:r>
          <a:r>
            <a:rPr lang="fr-CA" sz="1000">
              <a:effectLst/>
              <a:latin typeface="Arial" panose="020B0604020202020204" pitchFamily="34" charset="0"/>
              <a:ea typeface="Times New Roman" panose="02020603050405020304" pitchFamily="18" charset="0"/>
            </a:rPr>
            <a:t>puisque nous ne disposons pas, pour le moment, des données nécessaires afin d’utiliser la méthode de calcul officielle de la FADQ. </a:t>
          </a:r>
          <a:r>
            <a:rPr lang="fr-CA" sz="1000">
              <a:solidFill>
                <a:srgbClr val="984806"/>
              </a:solidFill>
              <a:effectLst/>
              <a:latin typeface="Arial" panose="020B0604020202020204" pitchFamily="34" charset="0"/>
              <a:ea typeface="Times New Roman" panose="02020603050405020304" pitchFamily="18" charset="0"/>
            </a:rPr>
            <a:t>Les cotisations ASRA ont été estimées à 90,15 $/truie et 0,0739 $/kg. </a:t>
          </a:r>
          <a:endParaRPr lang="fr-CA" sz="1200">
            <a:effectLst/>
            <a:latin typeface="Times New Roman" panose="02020603050405020304" pitchFamily="18" charset="0"/>
            <a:ea typeface="Times New Roman" panose="02020603050405020304" pitchFamily="18" charset="0"/>
          </a:endParaRPr>
        </a:p>
        <a:p>
          <a:pPr algn="just"/>
          <a:r>
            <a:rPr lang="fr-CA" sz="1000">
              <a:solidFill>
                <a:srgbClr val="984806"/>
              </a:solidFill>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r>
            <a:rPr lang="fr-CA" sz="1000" b="1">
              <a:effectLst/>
              <a:latin typeface="Arial" panose="020B0604020202020204" pitchFamily="34" charset="0"/>
              <a:ea typeface="Times New Roman" panose="02020603050405020304" pitchFamily="18" charset="0"/>
            </a:rPr>
            <a:t>Prix du porc</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Le prix des porcs choisi comme référence dans l’outil est celui de la grille « Qualité Québec ». Si vous utilisez une autre grille pour la vente de vos porcs, il faut ajuster votre prix de base des porcs selon cette dernière (prix de base pour 2023).</a:t>
          </a:r>
          <a:endParaRPr lang="fr-CA" sz="1200">
            <a:effectLst/>
            <a:latin typeface="Times New Roman" panose="02020603050405020304" pitchFamily="18" charset="0"/>
            <a:ea typeface="Times New Roman" panose="02020603050405020304" pitchFamily="18" charset="0"/>
          </a:endParaRPr>
        </a:p>
        <a:p>
          <a:pPr algn="just"/>
          <a:endParaRPr lang="fr-CA" sz="1000">
            <a:effectLst/>
            <a:latin typeface="Arial" panose="020B0604020202020204" pitchFamily="34" charset="0"/>
            <a:ea typeface="Times New Roman" panose="02020603050405020304" pitchFamily="18" charset="0"/>
          </a:endParaRPr>
        </a:p>
        <a:p>
          <a:pPr algn="just"/>
          <a:endParaRPr lang="fr-CA" sz="1000">
            <a:effectLst/>
            <a:latin typeface="Arial" panose="020B0604020202020204" pitchFamily="34" charset="0"/>
            <a:ea typeface="Times New Roman" panose="02020603050405020304" pitchFamily="18" charset="0"/>
          </a:endParaRPr>
        </a:p>
        <a:p>
          <a:pPr algn="just"/>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Rédaction : </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Caroline Lacroix, B. Sc. A. (agroéconomie)</a:t>
          </a:r>
          <a:endParaRPr lang="fr-CA" sz="1200">
            <a:effectLst/>
            <a:latin typeface="Times New Roman" panose="02020603050405020304" pitchFamily="18" charset="0"/>
            <a:ea typeface="Times New Roman" panose="02020603050405020304" pitchFamily="18" charset="0"/>
          </a:endParaRPr>
        </a:p>
        <a:p>
          <a:pPr algn="just"/>
          <a:r>
            <a:rPr lang="fr-CA" sz="1000">
              <a:effectLst/>
              <a:latin typeface="Arial" panose="020B0604020202020204" pitchFamily="34" charset="0"/>
              <a:ea typeface="Times New Roman" panose="02020603050405020304" pitchFamily="18" charset="0"/>
            </a:rPr>
            <a:t>Michel Mercier, D.T.A. </a:t>
          </a:r>
          <a:endParaRPr lang="fr-CA" sz="1200">
            <a:effectLst/>
            <a:latin typeface="Times New Roman" panose="02020603050405020304" pitchFamily="18" charset="0"/>
            <a:ea typeface="Times New Roman" panose="02020603050405020304" pitchFamily="18" charset="0"/>
          </a:endParaRPr>
        </a:p>
        <a:p>
          <a:endParaRPr lang="fr-CA" sz="10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147259</xdr:colOff>
      <xdr:row>148</xdr:row>
      <xdr:rowOff>26005</xdr:rowOff>
    </xdr:from>
    <xdr:to>
      <xdr:col>7</xdr:col>
      <xdr:colOff>392258</xdr:colOff>
      <xdr:row>154</xdr:row>
      <xdr:rowOff>75672</xdr:rowOff>
    </xdr:to>
    <xdr:grpSp>
      <xdr:nvGrpSpPr>
        <xdr:cNvPr id="16" name="Group 36">
          <a:extLst>
            <a:ext uri="{FF2B5EF4-FFF2-40B4-BE49-F238E27FC236}">
              <a16:creationId xmlns:a16="http://schemas.microsoft.com/office/drawing/2014/main" id="{116CC33F-E97F-43E6-AF6E-F6855470B020}"/>
            </a:ext>
          </a:extLst>
        </xdr:cNvPr>
        <xdr:cNvGrpSpPr>
          <a:grpSpLocks noChangeAspect="1"/>
        </xdr:cNvGrpSpPr>
      </xdr:nvGrpSpPr>
      <xdr:grpSpPr bwMode="auto">
        <a:xfrm>
          <a:off x="866926" y="24960338"/>
          <a:ext cx="4562999" cy="1002167"/>
          <a:chOff x="107160512" y="108475667"/>
          <a:chExt cx="5590517" cy="1161395"/>
        </a:xfrm>
      </xdr:grpSpPr>
      <xdr:grpSp>
        <xdr:nvGrpSpPr>
          <xdr:cNvPr id="17" name="Group 37">
            <a:extLst>
              <a:ext uri="{FF2B5EF4-FFF2-40B4-BE49-F238E27FC236}">
                <a16:creationId xmlns:a16="http://schemas.microsoft.com/office/drawing/2014/main" id="{673FDE9D-6DD3-43BE-BC2A-F0CA014C956D}"/>
              </a:ext>
            </a:extLst>
          </xdr:cNvPr>
          <xdr:cNvGrpSpPr>
            <a:grpSpLocks/>
          </xdr:cNvGrpSpPr>
        </xdr:nvGrpSpPr>
        <xdr:grpSpPr bwMode="auto">
          <a:xfrm>
            <a:off x="107160512" y="108678835"/>
            <a:ext cx="5590517" cy="958227"/>
            <a:chOff x="107160512" y="108678835"/>
            <a:chExt cx="5590517" cy="958227"/>
          </a:xfrm>
        </xdr:grpSpPr>
        <xdr:pic>
          <xdr:nvPicPr>
            <xdr:cNvPr id="19" name="Image 32">
              <a:extLst>
                <a:ext uri="{FF2B5EF4-FFF2-40B4-BE49-F238E27FC236}">
                  <a16:creationId xmlns:a16="http://schemas.microsoft.com/office/drawing/2014/main" id="{2F1D329C-8521-461E-BC61-E5ABB4DDFC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680"/>
            <a:stretch>
              <a:fillRect/>
            </a:stretch>
          </xdr:blipFill>
          <xdr:spPr bwMode="auto">
            <a:xfrm>
              <a:off x="107160512" y="108678835"/>
              <a:ext cx="5590517" cy="95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AutoShape 39">
              <a:extLst>
                <a:ext uri="{FF2B5EF4-FFF2-40B4-BE49-F238E27FC236}">
                  <a16:creationId xmlns:a16="http://schemas.microsoft.com/office/drawing/2014/main" id="{B04CE12D-A044-4CDA-981E-664762FCD7F2}"/>
                </a:ext>
              </a:extLst>
            </xdr:cNvPr>
            <xdr:cNvCxnSpPr>
              <a:cxnSpLocks noChangeShapeType="1"/>
            </xdr:cNvCxnSpPr>
          </xdr:nvCxnSpPr>
          <xdr:spPr bwMode="auto">
            <a:xfrm>
              <a:off x="107183581" y="108704269"/>
              <a:ext cx="5565914" cy="1"/>
            </a:xfrm>
            <a:prstGeom prst="straightConnector1">
              <a:avLst/>
            </a:prstGeom>
            <a:noFill/>
            <a:ln w="38100">
              <a:solidFill>
                <a:srgbClr val="659144"/>
              </a:solidFill>
              <a:round/>
              <a:headEnd/>
              <a:tailEnd/>
            </a:ln>
            <a:extLst>
              <a:ext uri="{909E8E84-426E-40DD-AFC4-6F175D3DCCD1}">
                <a14:hiddenFill xmlns:a14="http://schemas.microsoft.com/office/drawing/2010/main">
                  <a:noFill/>
                </a14:hiddenFill>
              </a:ext>
            </a:extLst>
          </xdr:spPr>
        </xdr:cxnSp>
      </xdr:grpSp>
      <xdr:sp macro="" textlink="">
        <xdr:nvSpPr>
          <xdr:cNvPr id="18" name="Text Box 40">
            <a:extLst>
              <a:ext uri="{FF2B5EF4-FFF2-40B4-BE49-F238E27FC236}">
                <a16:creationId xmlns:a16="http://schemas.microsoft.com/office/drawing/2014/main" id="{4BA86BAD-21D4-41F8-950A-A7D3EF6D6681}"/>
              </a:ext>
            </a:extLst>
          </xdr:cNvPr>
          <xdr:cNvSpPr txBox="1">
            <a:spLocks noChangeArrowheads="1"/>
          </xdr:cNvSpPr>
        </xdr:nvSpPr>
        <xdr:spPr bwMode="auto">
          <a:xfrm>
            <a:off x="107160512" y="108475667"/>
            <a:ext cx="1498692" cy="212001"/>
          </a:xfrm>
          <a:prstGeom prst="rect">
            <a:avLst/>
          </a:prstGeom>
          <a:noFill/>
          <a:ln>
            <a:noFill/>
          </a:ln>
          <a:effectLst/>
        </xdr:spPr>
        <xdr:txBody>
          <a:bodyPr vertOverflow="clip" wrap="square" lIns="36576" tIns="36576" rIns="36576" bIns="36576" anchor="t" upright="1"/>
          <a:lstStyle/>
          <a:p>
            <a:pPr algn="l" rtl="0">
              <a:defRPr sz="1000"/>
            </a:pPr>
            <a:r>
              <a:rPr lang="fr-CA" sz="1100" b="1" i="0" u="none" strike="noStrike" baseline="0">
                <a:solidFill>
                  <a:srgbClr val="90713A"/>
                </a:solidFill>
                <a:latin typeface="Calibri"/>
              </a:rPr>
              <a:t>Partenaires financiers</a:t>
            </a:r>
          </a:p>
          <a:p>
            <a:pPr algn="l" rtl="0">
              <a:defRPr sz="1000"/>
            </a:pPr>
            <a:endParaRPr lang="fr-CA" sz="1100" b="1" i="0" u="none" strike="noStrike" baseline="0">
              <a:solidFill>
                <a:srgbClr val="90713A"/>
              </a:solidFill>
              <a:latin typeface="Calibri"/>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304378</xdr:colOff>
      <xdr:row>0</xdr:row>
      <xdr:rowOff>1061155</xdr:rowOff>
    </xdr:from>
    <xdr:to>
      <xdr:col>5</xdr:col>
      <xdr:colOff>304604</xdr:colOff>
      <xdr:row>0</xdr:row>
      <xdr:rowOff>1337380</xdr:rowOff>
    </xdr:to>
    <xdr:sp macro="" textlink="">
      <xdr:nvSpPr>
        <xdr:cNvPr id="2" name="Text Box 34">
          <a:extLst>
            <a:ext uri="{FF2B5EF4-FFF2-40B4-BE49-F238E27FC236}">
              <a16:creationId xmlns:a16="http://schemas.microsoft.com/office/drawing/2014/main" id="{00000000-0008-0000-0100-000002000000}"/>
            </a:ext>
          </a:extLst>
        </xdr:cNvPr>
        <xdr:cNvSpPr txBox="1">
          <a:spLocks noChangeArrowheads="1"/>
        </xdr:cNvSpPr>
      </xdr:nvSpPr>
      <xdr:spPr bwMode="auto">
        <a:xfrm>
          <a:off x="674583" y="1061155"/>
          <a:ext cx="2667226" cy="276225"/>
        </a:xfrm>
        <a:prstGeom prst="rect">
          <a:avLst/>
        </a:prstGeom>
        <a:noFill/>
        <a:ln>
          <a:noFill/>
        </a:ln>
        <a:effectLst/>
      </xdr:spPr>
      <xdr:txBody>
        <a:bodyPr vertOverflow="clip" wrap="square" lIns="36576" tIns="36576" rIns="36576" bIns="36576" anchor="t" upright="1"/>
        <a:lstStyle/>
        <a:p>
          <a:pPr algn="l" rtl="0">
            <a:defRPr sz="1000"/>
          </a:pPr>
          <a:r>
            <a:rPr lang="fr-CA" sz="1000" b="1" i="0" u="none" strike="noStrike" baseline="0">
              <a:solidFill>
                <a:srgbClr val="FFFFFF"/>
              </a:solidFill>
              <a:latin typeface="Calibri"/>
              <a:cs typeface="Calibri"/>
            </a:rPr>
            <a:t>Feuillet d’information réalisé par le CDPQ</a:t>
          </a:r>
        </a:p>
        <a:p>
          <a:pPr algn="l" rtl="0">
            <a:defRPr sz="1000"/>
          </a:pPr>
          <a:endParaRPr lang="fr-CA" sz="1000" b="1" i="0" u="none" strike="noStrike" baseline="0">
            <a:solidFill>
              <a:srgbClr val="FFFFFF"/>
            </a:solidFill>
            <a:latin typeface="Calibri"/>
            <a:cs typeface="Calibri"/>
          </a:endParaRPr>
        </a:p>
      </xdr:txBody>
    </xdr:sp>
    <xdr:clientData/>
  </xdr:twoCellAnchor>
  <xdr:twoCellAnchor>
    <xdr:from>
      <xdr:col>2</xdr:col>
      <xdr:colOff>9525</xdr:colOff>
      <xdr:row>0</xdr:row>
      <xdr:rowOff>85725</xdr:rowOff>
    </xdr:from>
    <xdr:to>
      <xdr:col>15</xdr:col>
      <xdr:colOff>523875</xdr:colOff>
      <xdr:row>1</xdr:row>
      <xdr:rowOff>9525</xdr:rowOff>
    </xdr:to>
    <xdr:grpSp>
      <xdr:nvGrpSpPr>
        <xdr:cNvPr id="48368" name="Group 42">
          <a:extLst>
            <a:ext uri="{FF2B5EF4-FFF2-40B4-BE49-F238E27FC236}">
              <a16:creationId xmlns:a16="http://schemas.microsoft.com/office/drawing/2014/main" id="{00000000-0008-0000-0100-0000F0BC0000}"/>
            </a:ext>
          </a:extLst>
        </xdr:cNvPr>
        <xdr:cNvGrpSpPr>
          <a:grpSpLocks/>
        </xdr:cNvGrpSpPr>
      </xdr:nvGrpSpPr>
      <xdr:grpSpPr bwMode="auto">
        <a:xfrm>
          <a:off x="305858" y="85725"/>
          <a:ext cx="8949267" cy="1754717"/>
          <a:chOff x="1" y="9"/>
          <a:chExt cx="720" cy="187"/>
        </a:xfrm>
      </xdr:grpSpPr>
      <xdr:pic>
        <xdr:nvPicPr>
          <xdr:cNvPr id="48369" name="Image 21" descr="bandeau publication">
            <a:extLst>
              <a:ext uri="{FF2B5EF4-FFF2-40B4-BE49-F238E27FC236}">
                <a16:creationId xmlns:a16="http://schemas.microsoft.com/office/drawing/2014/main" id="{00000000-0008-0000-0100-0000F1B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
            <a:ext cx="72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solidFill>
                  <a:srgbClr val="000000"/>
                </a:solidFill>
                <a:miter lim="800000"/>
                <a:headEnd/>
                <a:tailEnd/>
              </a14:hiddenLine>
            </a:ext>
          </a:extLst>
        </xdr:spPr>
      </xdr:pic>
      <xdr:sp macro="" textlink="">
        <xdr:nvSpPr>
          <xdr:cNvPr id="5" name="Text Box 32">
            <a:extLst>
              <a:ext uri="{FF2B5EF4-FFF2-40B4-BE49-F238E27FC236}">
                <a16:creationId xmlns:a16="http://schemas.microsoft.com/office/drawing/2014/main" id="{00000000-0008-0000-0100-000005000000}"/>
              </a:ext>
            </a:extLst>
          </xdr:cNvPr>
          <xdr:cNvSpPr txBox="1">
            <a:spLocks noChangeArrowheads="1"/>
          </xdr:cNvSpPr>
        </xdr:nvSpPr>
        <xdr:spPr bwMode="auto">
          <a:xfrm>
            <a:off x="666" y="115"/>
            <a:ext cx="54" cy="50"/>
          </a:xfrm>
          <a:prstGeom prst="rect">
            <a:avLst/>
          </a:prstGeom>
          <a:noFill/>
          <a:ln>
            <a:noFill/>
          </a:ln>
          <a:effectLst/>
        </xdr:spPr>
        <xdr:txBody>
          <a:bodyPr vertOverflow="clip" wrap="square" lIns="36576" tIns="36576" rIns="36576" bIns="36576" anchor="t" upright="1"/>
          <a:lstStyle/>
          <a:p>
            <a:pPr algn="r" rtl="0">
              <a:lnSpc>
                <a:spcPts val="1300"/>
              </a:lnSpc>
              <a:defRPr sz="1000"/>
            </a:pPr>
            <a:r>
              <a:rPr lang="fr-CA" sz="1300" b="1" i="0" u="none" strike="noStrike" baseline="0">
                <a:solidFill>
                  <a:srgbClr val="339966"/>
                </a:solidFill>
                <a:latin typeface="Calibri"/>
                <a:cs typeface="Calibri"/>
              </a:rPr>
              <a:t>Vol. 14</a:t>
            </a:r>
          </a:p>
          <a:p>
            <a:pPr algn="r" rtl="0">
              <a:lnSpc>
                <a:spcPts val="1300"/>
              </a:lnSpc>
              <a:defRPr sz="1000"/>
            </a:pPr>
            <a:r>
              <a:rPr lang="fr-CA" sz="1300" b="1" i="0" u="none" strike="noStrike" baseline="0">
                <a:solidFill>
                  <a:srgbClr val="339966"/>
                </a:solidFill>
                <a:latin typeface="Calibri"/>
                <a:cs typeface="Calibri"/>
              </a:rPr>
              <a:t>N</a:t>
            </a:r>
            <a:r>
              <a:rPr lang="fr-CA" sz="1300" b="1" i="0" u="none" strike="noStrike" baseline="30000">
                <a:solidFill>
                  <a:srgbClr val="339966"/>
                </a:solidFill>
                <a:latin typeface="Calibri"/>
                <a:cs typeface="Calibri"/>
              </a:rPr>
              <a:t>o</a:t>
            </a:r>
            <a:r>
              <a:rPr lang="fr-CA" sz="1300" b="1" i="0" u="none" strike="noStrike" baseline="0">
                <a:solidFill>
                  <a:srgbClr val="339966"/>
                </a:solidFill>
                <a:latin typeface="Calibri"/>
                <a:cs typeface="Calibri"/>
              </a:rPr>
              <a:t> 3</a:t>
            </a:r>
            <a:endParaRPr lang="fr-CA" sz="1000" b="0" i="0" u="none" strike="noStrike" baseline="0">
              <a:solidFill>
                <a:srgbClr val="000000"/>
              </a:solidFill>
              <a:latin typeface="Calibri"/>
              <a:cs typeface="Calibri"/>
            </a:endParaRPr>
          </a:p>
        </xdr:txBody>
      </xdr:sp>
      <xdr:pic>
        <xdr:nvPicPr>
          <xdr:cNvPr id="48371" name="Image 24" descr="CDPQ_RVB">
            <a:extLst>
              <a:ext uri="{FF2B5EF4-FFF2-40B4-BE49-F238E27FC236}">
                <a16:creationId xmlns:a16="http://schemas.microsoft.com/office/drawing/2014/main" id="{00000000-0008-0000-0100-0000F3B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118"/>
            <a:ext cx="97"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 Box 33">
            <a:extLst>
              <a:ext uri="{FF2B5EF4-FFF2-40B4-BE49-F238E27FC236}">
                <a16:creationId xmlns:a16="http://schemas.microsoft.com/office/drawing/2014/main" id="{00000000-0008-0000-0100-000007000000}"/>
              </a:ext>
            </a:extLst>
          </xdr:cNvPr>
          <xdr:cNvSpPr txBox="1">
            <a:spLocks noChangeArrowheads="1"/>
          </xdr:cNvSpPr>
        </xdr:nvSpPr>
        <xdr:spPr bwMode="auto">
          <a:xfrm>
            <a:off x="3" y="27"/>
            <a:ext cx="557" cy="65"/>
          </a:xfrm>
          <a:prstGeom prst="rect">
            <a:avLst/>
          </a:prstGeom>
          <a:noFill/>
          <a:ln>
            <a:noFill/>
          </a:ln>
          <a:effectLst/>
        </xdr:spPr>
        <xdr:txBody>
          <a:bodyPr vertOverflow="clip" wrap="square" lIns="36576" tIns="36576" rIns="36576" bIns="36576" anchor="t" upright="1"/>
          <a:lstStyle/>
          <a:p>
            <a:pPr algn="l" rtl="0">
              <a:defRPr sz="1000"/>
            </a:pPr>
            <a:r>
              <a:rPr lang="fr-CA" sz="1600" b="1" i="0" u="none" strike="noStrike" baseline="0">
                <a:solidFill>
                  <a:srgbClr val="FFFFFF"/>
                </a:solidFill>
                <a:latin typeface="Calibri"/>
                <a:cs typeface="Calibri"/>
              </a:rPr>
              <a:t>Tendances des prix du porc et des aliments</a:t>
            </a:r>
          </a:p>
          <a:p>
            <a:pPr algn="l" rtl="0">
              <a:defRPr sz="1000"/>
            </a:pPr>
            <a:r>
              <a:rPr lang="fr-CA" sz="1600" b="1" i="0" u="none" strike="noStrike" baseline="0">
                <a:solidFill>
                  <a:srgbClr val="FFFFFF"/>
                </a:solidFill>
                <a:latin typeface="Calibri"/>
                <a:cs typeface="Calibri"/>
              </a:rPr>
              <a:t>et prévision des compensations ASRA en production porcine</a:t>
            </a:r>
          </a:p>
          <a:p>
            <a:pPr algn="l" rtl="0">
              <a:defRPr sz="1000"/>
            </a:pPr>
            <a:endParaRPr lang="fr-CA" sz="1600" b="1" i="0" u="none" strike="noStrike" baseline="0">
              <a:solidFill>
                <a:srgbClr val="FFFFFF"/>
              </a:solidFill>
              <a:latin typeface="Calibri"/>
              <a:cs typeface="Calibri"/>
            </a:endParaRPr>
          </a:p>
        </xdr:txBody>
      </xdr:sp>
      <xdr:sp macro="" textlink="">
        <xdr:nvSpPr>
          <xdr:cNvPr id="8" name="Text Box 34">
            <a:extLst>
              <a:ext uri="{FF2B5EF4-FFF2-40B4-BE49-F238E27FC236}">
                <a16:creationId xmlns:a16="http://schemas.microsoft.com/office/drawing/2014/main" id="{00000000-0008-0000-0100-000008000000}"/>
              </a:ext>
            </a:extLst>
          </xdr:cNvPr>
          <xdr:cNvSpPr txBox="1">
            <a:spLocks noChangeArrowheads="1"/>
          </xdr:cNvSpPr>
        </xdr:nvSpPr>
        <xdr:spPr bwMode="auto">
          <a:xfrm>
            <a:off x="5" y="84"/>
            <a:ext cx="285" cy="34"/>
          </a:xfrm>
          <a:prstGeom prst="rect">
            <a:avLst/>
          </a:prstGeom>
          <a:noFill/>
          <a:ln>
            <a:noFill/>
          </a:ln>
          <a:effectLst/>
        </xdr:spPr>
        <xdr:txBody>
          <a:bodyPr vertOverflow="clip" wrap="square" lIns="36576" tIns="36576" rIns="36576" bIns="36576" anchor="t" upright="1"/>
          <a:lstStyle/>
          <a:p>
            <a:pPr algn="l" rtl="0">
              <a:defRPr sz="1000"/>
            </a:pPr>
            <a:r>
              <a:rPr lang="fr-CA" sz="1000" b="1" i="0" u="none" strike="noStrike" baseline="0">
                <a:solidFill>
                  <a:srgbClr val="FFFFFF"/>
                </a:solidFill>
                <a:latin typeface="Calibri"/>
                <a:cs typeface="Calibri"/>
              </a:rPr>
              <a:t>Feuillet d’information réalisé par le CDPQ</a:t>
            </a:r>
          </a:p>
          <a:p>
            <a:pPr algn="l" rtl="0">
              <a:lnSpc>
                <a:spcPts val="1100"/>
              </a:lnSpc>
              <a:defRPr sz="1000"/>
            </a:pPr>
            <a:endParaRPr lang="fr-CA" sz="1000" b="1" i="0" u="none" strike="noStrike" baseline="0">
              <a:solidFill>
                <a:srgbClr val="FFFFFF"/>
              </a:solidFill>
              <a:latin typeface="Calibri"/>
              <a:cs typeface="Calibri"/>
            </a:endParaRPr>
          </a:p>
        </xdr:txBody>
      </xdr:sp>
      <xdr:sp macro="" textlink="">
        <xdr:nvSpPr>
          <xdr:cNvPr id="9" name="Text Box 35">
            <a:extLst>
              <a:ext uri="{FF2B5EF4-FFF2-40B4-BE49-F238E27FC236}">
                <a16:creationId xmlns:a16="http://schemas.microsoft.com/office/drawing/2014/main" id="{00000000-0008-0000-0100-000009000000}"/>
              </a:ext>
            </a:extLst>
          </xdr:cNvPr>
          <xdr:cNvSpPr txBox="1">
            <a:spLocks noChangeArrowheads="1"/>
          </xdr:cNvSpPr>
        </xdr:nvSpPr>
        <xdr:spPr bwMode="auto">
          <a:xfrm>
            <a:off x="421" y="112"/>
            <a:ext cx="136" cy="53"/>
          </a:xfrm>
          <a:prstGeom prst="rect">
            <a:avLst/>
          </a:prstGeom>
          <a:noFill/>
          <a:ln>
            <a:noFill/>
          </a:ln>
          <a:effectLst/>
        </xdr:spPr>
        <xdr:txBody>
          <a:bodyPr vertOverflow="clip" wrap="square" lIns="36576" tIns="36576" rIns="36576" bIns="36576" anchor="t" upright="1"/>
          <a:lstStyle/>
          <a:p>
            <a:pPr algn="r" rtl="0">
              <a:defRPr sz="1000"/>
            </a:pPr>
            <a:r>
              <a:rPr lang="fr-CA" sz="1300" b="1" i="0" strike="noStrike">
                <a:solidFill>
                  <a:srgbClr val="339966"/>
                </a:solidFill>
                <a:latin typeface="+mn-lt"/>
              </a:rPr>
              <a:t>Novembre</a:t>
            </a:r>
          </a:p>
          <a:p>
            <a:pPr algn="r" rtl="0">
              <a:defRPr sz="1000"/>
            </a:pPr>
            <a:r>
              <a:rPr lang="fr-CA" sz="1300" b="1" i="0" strike="noStrike">
                <a:solidFill>
                  <a:srgbClr val="339966"/>
                </a:solidFill>
                <a:latin typeface="Calibri"/>
              </a:rPr>
              <a:t>2024</a:t>
            </a:r>
          </a:p>
        </xdr:txBody>
      </xdr:sp>
    </xdr:grpSp>
    <xdr:clientData/>
  </xdr:twoCellAnchor>
  <xdr:twoCellAnchor>
    <xdr:from>
      <xdr:col>3</xdr:col>
      <xdr:colOff>314739</xdr:colOff>
      <xdr:row>0</xdr:row>
      <xdr:rowOff>1109870</xdr:rowOff>
    </xdr:from>
    <xdr:to>
      <xdr:col>11</xdr:col>
      <xdr:colOff>168089</xdr:colOff>
      <xdr:row>0</xdr:row>
      <xdr:rowOff>1760744</xdr:rowOff>
    </xdr:to>
    <xdr:sp macro="" textlink="">
      <xdr:nvSpPr>
        <xdr:cNvPr id="4" name="ZoneTexte 3">
          <a:extLst>
            <a:ext uri="{FF2B5EF4-FFF2-40B4-BE49-F238E27FC236}">
              <a16:creationId xmlns:a16="http://schemas.microsoft.com/office/drawing/2014/main" id="{A4530549-2415-410D-A3BA-A8C977AA6983}"/>
            </a:ext>
          </a:extLst>
        </xdr:cNvPr>
        <xdr:cNvSpPr txBox="1"/>
      </xdr:nvSpPr>
      <xdr:spPr>
        <a:xfrm>
          <a:off x="1524974" y="1109870"/>
          <a:ext cx="4806350" cy="650874"/>
        </a:xfrm>
        <a:prstGeom prst="rect">
          <a:avLst/>
        </a:prstGeom>
        <a:solidFill>
          <a:schemeClr val="lt1"/>
        </a:solidFill>
        <a:ln w="9525" cap="sq" cmpd="sng">
          <a:solidFill>
            <a:srgbClr val="008000">
              <a:alpha val="49804"/>
            </a:srgb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fr-CA" sz="1100">
              <a:solidFill>
                <a:sysClr val="windowText" lastClr="000000"/>
              </a:solidFill>
              <a:latin typeface="Arial" panose="020B0604020202020204" pitchFamily="34" charset="0"/>
              <a:cs typeface="Arial" panose="020B0604020202020204" pitchFamily="34" charset="0"/>
            </a:rPr>
            <a:t>Cet onglet </a:t>
          </a:r>
          <a:r>
            <a:rPr lang="fr-CA" sz="1100" u="sng">
              <a:solidFill>
                <a:sysClr val="windowText" lastClr="000000"/>
              </a:solidFill>
              <a:latin typeface="Arial" panose="020B0604020202020204" pitchFamily="34" charset="0"/>
              <a:cs typeface="Arial" panose="020B0604020202020204" pitchFamily="34" charset="0"/>
            </a:rPr>
            <a:t>inclut</a:t>
          </a:r>
          <a:r>
            <a:rPr lang="fr-CA" sz="1100" u="none" baseline="0">
              <a:solidFill>
                <a:sysClr val="windowText" lastClr="000000"/>
              </a:solidFill>
              <a:latin typeface="Arial" panose="020B0604020202020204" pitchFamily="34" charset="0"/>
              <a:cs typeface="Arial" panose="020B0604020202020204" pitchFamily="34" charset="0"/>
            </a:rPr>
            <a:t> </a:t>
          </a:r>
          <a:r>
            <a:rPr lang="fr-CA" sz="1100" baseline="0">
              <a:solidFill>
                <a:sysClr val="windowText" lastClr="000000"/>
              </a:solidFill>
              <a:latin typeface="Arial" panose="020B0604020202020204" pitchFamily="34" charset="0"/>
              <a:cs typeface="Arial" panose="020B0604020202020204" pitchFamily="34" charset="0"/>
            </a:rPr>
            <a:t>l'effet des réductions de prix advenues à partir de mars 2022 au Québec et simule leur impact sur le reste de 2024 et 2025. Consulter l'onglet "Réductions du prix des porcs" pour plus d'informations. </a:t>
          </a:r>
          <a:endParaRPr lang="fr-CA"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304378</xdr:colOff>
      <xdr:row>0</xdr:row>
      <xdr:rowOff>1061155</xdr:rowOff>
    </xdr:from>
    <xdr:to>
      <xdr:col>6</xdr:col>
      <xdr:colOff>304604</xdr:colOff>
      <xdr:row>0</xdr:row>
      <xdr:rowOff>1337380</xdr:rowOff>
    </xdr:to>
    <xdr:sp macro="" textlink="">
      <xdr:nvSpPr>
        <xdr:cNvPr id="2" name="Text Box 34">
          <a:extLst>
            <a:ext uri="{FF2B5EF4-FFF2-40B4-BE49-F238E27FC236}">
              <a16:creationId xmlns:a16="http://schemas.microsoft.com/office/drawing/2014/main" id="{00000000-0008-0000-0200-000002000000}"/>
            </a:ext>
          </a:extLst>
        </xdr:cNvPr>
        <xdr:cNvSpPr txBox="1">
          <a:spLocks noChangeArrowheads="1"/>
        </xdr:cNvSpPr>
      </xdr:nvSpPr>
      <xdr:spPr bwMode="auto">
        <a:xfrm>
          <a:off x="590128" y="1059250"/>
          <a:ext cx="2838676" cy="280035"/>
        </a:xfrm>
        <a:prstGeom prst="rect">
          <a:avLst/>
        </a:prstGeom>
        <a:noFill/>
        <a:ln>
          <a:noFill/>
        </a:ln>
        <a:effectLst/>
      </xdr:spPr>
      <xdr:txBody>
        <a:bodyPr vertOverflow="clip" wrap="square" lIns="36576" tIns="36576" rIns="36576" bIns="36576" anchor="t" upright="1"/>
        <a:lstStyle/>
        <a:p>
          <a:pPr algn="l" rtl="0">
            <a:defRPr sz="1000"/>
          </a:pPr>
          <a:r>
            <a:rPr lang="fr-CA" sz="1000" b="1" i="0" u="none" strike="noStrike" baseline="0">
              <a:solidFill>
                <a:srgbClr val="FFFFFF"/>
              </a:solidFill>
              <a:latin typeface="Calibri"/>
              <a:cs typeface="Calibri"/>
            </a:rPr>
            <a:t>Feuillet d’information réalisé par le CDPQ</a:t>
          </a:r>
        </a:p>
        <a:p>
          <a:pPr algn="l" rtl="0">
            <a:defRPr sz="1000"/>
          </a:pPr>
          <a:endParaRPr lang="fr-CA" sz="1000" b="1" i="0" u="none" strike="noStrike" baseline="0">
            <a:solidFill>
              <a:srgbClr val="FFFFFF"/>
            </a:solidFill>
            <a:latin typeface="Calibri"/>
            <a:cs typeface="Calibri"/>
          </a:endParaRPr>
        </a:p>
      </xdr:txBody>
    </xdr:sp>
    <xdr:clientData/>
  </xdr:twoCellAnchor>
  <xdr:twoCellAnchor>
    <xdr:from>
      <xdr:col>2</xdr:col>
      <xdr:colOff>0</xdr:colOff>
      <xdr:row>0</xdr:row>
      <xdr:rowOff>0</xdr:rowOff>
    </xdr:from>
    <xdr:to>
      <xdr:col>11</xdr:col>
      <xdr:colOff>1103842</xdr:colOff>
      <xdr:row>0</xdr:row>
      <xdr:rowOff>1762125</xdr:rowOff>
    </xdr:to>
    <xdr:grpSp>
      <xdr:nvGrpSpPr>
        <xdr:cNvPr id="61" name="Group 42">
          <a:extLst>
            <a:ext uri="{FF2B5EF4-FFF2-40B4-BE49-F238E27FC236}">
              <a16:creationId xmlns:a16="http://schemas.microsoft.com/office/drawing/2014/main" id="{4976B45E-4E86-4CD3-96C9-9C483112827E}"/>
            </a:ext>
          </a:extLst>
        </xdr:cNvPr>
        <xdr:cNvGrpSpPr>
          <a:grpSpLocks/>
        </xdr:cNvGrpSpPr>
      </xdr:nvGrpSpPr>
      <xdr:grpSpPr bwMode="auto">
        <a:xfrm>
          <a:off x="338667" y="0"/>
          <a:ext cx="8480425" cy="1762125"/>
          <a:chOff x="1" y="9"/>
          <a:chExt cx="720" cy="187"/>
        </a:xfrm>
      </xdr:grpSpPr>
      <xdr:pic>
        <xdr:nvPicPr>
          <xdr:cNvPr id="62" name="Image 21" descr="bandeau publication">
            <a:extLst>
              <a:ext uri="{FF2B5EF4-FFF2-40B4-BE49-F238E27FC236}">
                <a16:creationId xmlns:a16="http://schemas.microsoft.com/office/drawing/2014/main" id="{D205A658-AAD8-48D4-A7CF-6E13C2E66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
            <a:ext cx="72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solidFill>
                  <a:srgbClr val="000000"/>
                </a:solidFill>
                <a:miter lim="800000"/>
                <a:headEnd/>
                <a:tailEnd/>
              </a14:hiddenLine>
            </a:ext>
          </a:extLst>
        </xdr:spPr>
      </xdr:pic>
      <xdr:sp macro="" textlink="">
        <xdr:nvSpPr>
          <xdr:cNvPr id="63" name="Text Box 32">
            <a:extLst>
              <a:ext uri="{FF2B5EF4-FFF2-40B4-BE49-F238E27FC236}">
                <a16:creationId xmlns:a16="http://schemas.microsoft.com/office/drawing/2014/main" id="{11FFB71A-48E1-450F-8C9F-55663A934C15}"/>
              </a:ext>
            </a:extLst>
          </xdr:cNvPr>
          <xdr:cNvSpPr txBox="1">
            <a:spLocks noChangeArrowheads="1"/>
          </xdr:cNvSpPr>
        </xdr:nvSpPr>
        <xdr:spPr bwMode="auto">
          <a:xfrm>
            <a:off x="664" y="118"/>
            <a:ext cx="54" cy="50"/>
          </a:xfrm>
          <a:prstGeom prst="rect">
            <a:avLst/>
          </a:prstGeom>
          <a:noFill/>
          <a:ln>
            <a:noFill/>
          </a:ln>
          <a:effectLst/>
        </xdr:spPr>
        <xdr:txBody>
          <a:bodyPr vertOverflow="clip" wrap="square" lIns="36576" tIns="36576" rIns="36576" bIns="36576" anchor="t" upright="1"/>
          <a:lstStyle/>
          <a:p>
            <a:pPr algn="r" rtl="0">
              <a:lnSpc>
                <a:spcPts val="1300"/>
              </a:lnSpc>
              <a:defRPr sz="1000"/>
            </a:pPr>
            <a:r>
              <a:rPr lang="fr-CA" sz="1300" b="1" i="0" u="none" strike="noStrike" baseline="0">
                <a:solidFill>
                  <a:srgbClr val="339966"/>
                </a:solidFill>
                <a:latin typeface="+mn-lt"/>
                <a:cs typeface="Calibri"/>
              </a:rPr>
              <a:t>Vol. 14</a:t>
            </a:r>
          </a:p>
          <a:p>
            <a:pPr algn="r" rtl="0">
              <a:lnSpc>
                <a:spcPts val="1300"/>
              </a:lnSpc>
              <a:defRPr sz="1000"/>
            </a:pPr>
            <a:r>
              <a:rPr lang="fr-CA" sz="1300" b="1" i="0" u="none" strike="noStrike" baseline="0">
                <a:solidFill>
                  <a:srgbClr val="339966"/>
                </a:solidFill>
                <a:latin typeface="+mn-lt"/>
                <a:cs typeface="Calibri"/>
              </a:rPr>
              <a:t>N</a:t>
            </a:r>
            <a:r>
              <a:rPr lang="fr-CA" sz="1300" b="1" i="0" u="none" strike="noStrike" baseline="30000">
                <a:solidFill>
                  <a:srgbClr val="339966"/>
                </a:solidFill>
                <a:latin typeface="+mn-lt"/>
                <a:cs typeface="Calibri"/>
              </a:rPr>
              <a:t>o</a:t>
            </a:r>
            <a:r>
              <a:rPr lang="fr-CA" sz="1300" b="1" i="0" u="none" strike="noStrike" baseline="0">
                <a:solidFill>
                  <a:srgbClr val="339966"/>
                </a:solidFill>
                <a:latin typeface="+mn-lt"/>
                <a:cs typeface="Calibri"/>
              </a:rPr>
              <a:t> 3</a:t>
            </a:r>
          </a:p>
        </xdr:txBody>
      </xdr:sp>
      <xdr:pic>
        <xdr:nvPicPr>
          <xdr:cNvPr id="64" name="Image 24" descr="CDPQ_RVB">
            <a:extLst>
              <a:ext uri="{FF2B5EF4-FFF2-40B4-BE49-F238E27FC236}">
                <a16:creationId xmlns:a16="http://schemas.microsoft.com/office/drawing/2014/main" id="{DB2AE7BA-CFE9-4602-99A6-3A3CBC717A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18"/>
            <a:ext cx="115" cy="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5" name="Text Box 33">
            <a:extLst>
              <a:ext uri="{FF2B5EF4-FFF2-40B4-BE49-F238E27FC236}">
                <a16:creationId xmlns:a16="http://schemas.microsoft.com/office/drawing/2014/main" id="{6A432E88-4291-488A-9EA2-67ED96A7473C}"/>
              </a:ext>
            </a:extLst>
          </xdr:cNvPr>
          <xdr:cNvSpPr txBox="1">
            <a:spLocks noChangeArrowheads="1"/>
          </xdr:cNvSpPr>
        </xdr:nvSpPr>
        <xdr:spPr bwMode="auto">
          <a:xfrm>
            <a:off x="3" y="26"/>
            <a:ext cx="560" cy="66"/>
          </a:xfrm>
          <a:prstGeom prst="rect">
            <a:avLst/>
          </a:prstGeom>
          <a:noFill/>
          <a:ln>
            <a:noFill/>
          </a:ln>
          <a:effectLst/>
        </xdr:spPr>
        <xdr:txBody>
          <a:bodyPr vertOverflow="clip" wrap="square" lIns="36576" tIns="36576" rIns="36576" bIns="36576" anchor="t" upright="1"/>
          <a:lstStyle/>
          <a:p>
            <a:pPr algn="l" rtl="0">
              <a:defRPr sz="1000"/>
            </a:pPr>
            <a:r>
              <a:rPr lang="fr-CA" sz="1600" b="1" i="0" u="none" strike="noStrike" baseline="0">
                <a:solidFill>
                  <a:srgbClr val="FFFFFF"/>
                </a:solidFill>
                <a:latin typeface="Calibri"/>
                <a:cs typeface="Calibri"/>
              </a:rPr>
              <a:t>Tendances des prix du porc et des aliments</a:t>
            </a:r>
          </a:p>
          <a:p>
            <a:pPr algn="l" rtl="0">
              <a:defRPr sz="1000"/>
            </a:pPr>
            <a:r>
              <a:rPr lang="fr-CA" sz="1600" b="1" i="0" u="none" strike="noStrike" baseline="0">
                <a:solidFill>
                  <a:srgbClr val="FFFFFF"/>
                </a:solidFill>
                <a:latin typeface="Calibri"/>
                <a:cs typeface="Calibri"/>
              </a:rPr>
              <a:t>et prévision des compensations ASRA en production porcine</a:t>
            </a:r>
          </a:p>
          <a:p>
            <a:pPr algn="l" rtl="0">
              <a:defRPr sz="1000"/>
            </a:pPr>
            <a:endParaRPr lang="fr-CA" sz="1600" b="1" i="0" u="none" strike="noStrike" baseline="0">
              <a:solidFill>
                <a:srgbClr val="FFFFFF"/>
              </a:solidFill>
              <a:latin typeface="Calibri"/>
              <a:cs typeface="Calibri"/>
            </a:endParaRPr>
          </a:p>
        </xdr:txBody>
      </xdr:sp>
      <xdr:sp macro="" textlink="">
        <xdr:nvSpPr>
          <xdr:cNvPr id="66" name="Text Box 34">
            <a:extLst>
              <a:ext uri="{FF2B5EF4-FFF2-40B4-BE49-F238E27FC236}">
                <a16:creationId xmlns:a16="http://schemas.microsoft.com/office/drawing/2014/main" id="{8584E121-5FD1-4439-81E6-47A98A48B31B}"/>
              </a:ext>
            </a:extLst>
          </xdr:cNvPr>
          <xdr:cNvSpPr txBox="1">
            <a:spLocks noChangeArrowheads="1"/>
          </xdr:cNvSpPr>
        </xdr:nvSpPr>
        <xdr:spPr bwMode="auto">
          <a:xfrm>
            <a:off x="5" y="84"/>
            <a:ext cx="289" cy="34"/>
          </a:xfrm>
          <a:prstGeom prst="rect">
            <a:avLst/>
          </a:prstGeom>
          <a:noFill/>
          <a:ln>
            <a:noFill/>
          </a:ln>
          <a:effectLst/>
        </xdr:spPr>
        <xdr:txBody>
          <a:bodyPr vertOverflow="clip" wrap="square" lIns="36576" tIns="36576" rIns="36576" bIns="36576" anchor="t" upright="1"/>
          <a:lstStyle/>
          <a:p>
            <a:pPr algn="l" rtl="0">
              <a:defRPr sz="1000"/>
            </a:pPr>
            <a:r>
              <a:rPr lang="fr-CA" sz="1000" b="1" i="0" u="none" strike="noStrike" baseline="0">
                <a:solidFill>
                  <a:srgbClr val="FFFFFF"/>
                </a:solidFill>
                <a:latin typeface="Calibri"/>
                <a:cs typeface="Calibri"/>
              </a:rPr>
              <a:t>Feuillet d’information réalisé par le CDPQ</a:t>
            </a:r>
          </a:p>
          <a:p>
            <a:pPr algn="l" rtl="0">
              <a:lnSpc>
                <a:spcPts val="1100"/>
              </a:lnSpc>
              <a:defRPr sz="1000"/>
            </a:pPr>
            <a:endParaRPr lang="fr-CA" sz="1000" b="1" i="0" u="none" strike="noStrike" baseline="0">
              <a:solidFill>
                <a:srgbClr val="FFFFFF"/>
              </a:solidFill>
              <a:latin typeface="Calibri"/>
              <a:cs typeface="Calibri"/>
            </a:endParaRPr>
          </a:p>
        </xdr:txBody>
      </xdr:sp>
      <xdr:sp macro="" textlink="">
        <xdr:nvSpPr>
          <xdr:cNvPr id="67" name="Text Box 35">
            <a:extLst>
              <a:ext uri="{FF2B5EF4-FFF2-40B4-BE49-F238E27FC236}">
                <a16:creationId xmlns:a16="http://schemas.microsoft.com/office/drawing/2014/main" id="{EE4C9379-548E-40F7-8BB9-0F1C6C042004}"/>
              </a:ext>
            </a:extLst>
          </xdr:cNvPr>
          <xdr:cNvSpPr txBox="1">
            <a:spLocks noChangeArrowheads="1"/>
          </xdr:cNvSpPr>
        </xdr:nvSpPr>
        <xdr:spPr bwMode="auto">
          <a:xfrm>
            <a:off x="438" y="114"/>
            <a:ext cx="118" cy="55"/>
          </a:xfrm>
          <a:prstGeom prst="rect">
            <a:avLst/>
          </a:prstGeom>
          <a:noFill/>
          <a:ln>
            <a:noFill/>
          </a:ln>
          <a:effectLst/>
        </xdr:spPr>
        <xdr:txBody>
          <a:bodyPr vertOverflow="clip" wrap="square" lIns="36576" tIns="36576" rIns="36576" bIns="36576" anchor="t" upright="1"/>
          <a:lstStyle/>
          <a:p>
            <a:pPr algn="r" rtl="0">
              <a:defRPr sz="1000"/>
            </a:pPr>
            <a:r>
              <a:rPr lang="fr-CA" sz="1300" b="1" i="0" strike="noStrike">
                <a:solidFill>
                  <a:srgbClr val="339966"/>
                </a:solidFill>
                <a:latin typeface="+mn-lt"/>
                <a:ea typeface="+mn-ea"/>
                <a:cs typeface="+mn-cs"/>
              </a:rPr>
              <a:t>Novembre</a:t>
            </a:r>
          </a:p>
          <a:p>
            <a:pPr algn="r" rtl="0">
              <a:defRPr sz="1000"/>
            </a:pPr>
            <a:r>
              <a:rPr lang="fr-CA" sz="1300" b="1" i="0" strike="noStrike">
                <a:solidFill>
                  <a:srgbClr val="339966"/>
                </a:solidFill>
                <a:latin typeface="+mn-lt"/>
              </a:rPr>
              <a:t>2024</a:t>
            </a:r>
          </a:p>
        </xdr:txBody>
      </xdr:sp>
    </xdr:grpSp>
    <xdr:clientData/>
  </xdr:twoCellAnchor>
  <xdr:twoCellAnchor>
    <xdr:from>
      <xdr:col>5</xdr:col>
      <xdr:colOff>647700</xdr:colOff>
      <xdr:row>3</xdr:row>
      <xdr:rowOff>133349</xdr:rowOff>
    </xdr:from>
    <xdr:to>
      <xdr:col>11</xdr:col>
      <xdr:colOff>516835</xdr:colOff>
      <xdr:row>50</xdr:row>
      <xdr:rowOff>183666</xdr:rowOff>
    </xdr:to>
    <xdr:sp macro="" textlink="">
      <xdr:nvSpPr>
        <xdr:cNvPr id="4" name="ZoneTexte 3">
          <a:extLst>
            <a:ext uri="{FF2B5EF4-FFF2-40B4-BE49-F238E27FC236}">
              <a16:creationId xmlns:a16="http://schemas.microsoft.com/office/drawing/2014/main" id="{2496CCE6-B7A8-41BB-B44B-937154F86C59}"/>
            </a:ext>
          </a:extLst>
        </xdr:cNvPr>
        <xdr:cNvSpPr txBox="1"/>
      </xdr:nvSpPr>
      <xdr:spPr>
        <a:xfrm>
          <a:off x="4152900" y="2285999"/>
          <a:ext cx="4079185" cy="93943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 explicative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calculs du Tendance des prix tiennent compte des réductions déjà en vigueur et anticipées concernant le prix des porcs. Dans cet onglet, vous trouverez leur valeur en pourcentage et le prix des porcs si elles n'avaient pas été appliquées.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Cet onglet a donc pour but d'indiquer l'effet des coupures temporaires au prix des porcs qui découlent de diverses situations en 2024 et 2025.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Entre autres facteurs, depuis le 24 mars 2022, l'abattoir de Princeville, propriété d'Olymel, a cessé d'abattre des porcs. À cela s'est ajouté la fermeture de l'abattoir de Vallée Jonction en décembre 2023. À la suite de la diminution de la capacité d’abattage, le coût du détournement de ces porcs est assumé collectivement par les éleveurs de porcs du Québec.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Voici les modalités sommaires appliquées dans cette édition :</a:t>
          </a:r>
        </a:p>
        <a:p>
          <a:pPr marL="228600" marR="0" lvl="0" indent="-228600" algn="just" defTabSz="914400" eaLnBrk="1" fontAlgn="auto" latinLnBrk="0" hangingPunct="1">
            <a:lnSpc>
              <a:spcPct val="100000"/>
            </a:lnSpc>
            <a:spcBef>
              <a:spcPts val="0"/>
            </a:spcBef>
            <a:spcAft>
              <a:spcPts val="0"/>
            </a:spcAft>
            <a:buClrTx/>
            <a:buSzTx/>
            <a:buFont typeface="+mj-lt"/>
            <a:buAutoNum type="arabicPeriod"/>
            <a:tabLst/>
            <a:defRPr/>
          </a:pP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Depuis la fin de février 2022, un </a:t>
          </a:r>
          <a:r>
            <a:rPr kumimoji="0" lang="fr-CA" sz="1100" b="0" i="0" u="none" strike="noStrike" kern="0" cap="none" spc="0" normalizeH="0" baseline="0" noProof="0">
              <a:ln>
                <a:noFill/>
              </a:ln>
              <a:solidFill>
                <a:schemeClr val="accent6">
                  <a:lumMod val="50000"/>
                </a:schemeClr>
              </a:solidFill>
              <a:effectLst/>
              <a:uLnTx/>
              <a:uFillTx/>
              <a:latin typeface="Arial" panose="020B0604020202020204" pitchFamily="34" charset="0"/>
              <a:ea typeface="+mn-ea"/>
              <a:cs typeface="Arial" panose="020B0604020202020204" pitchFamily="34" charset="0"/>
            </a:rPr>
            <a:t>coût de détournement des porcs </a:t>
          </a: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sur d’autres marchés s'applique sur le prix de pool. À partir de mai 2024, nous avons appliqué une valeur estimative pour chaque mois. La durée de cette mesure de même que son ampleur demeurent inconnues.</a:t>
          </a:r>
        </a:p>
        <a:p>
          <a:pPr marL="228600" marR="0" lvl="0" indent="-228600" algn="just" defTabSz="914400" eaLnBrk="1" fontAlgn="auto" latinLnBrk="0" hangingPunct="1">
            <a:lnSpc>
              <a:spcPct val="100000"/>
            </a:lnSpc>
            <a:spcBef>
              <a:spcPts val="0"/>
            </a:spcBef>
            <a:spcAft>
              <a:spcPts val="0"/>
            </a:spcAft>
            <a:buClrTx/>
            <a:buSzTx/>
            <a:buFont typeface="+mj-lt"/>
            <a:buAutoNum type="arabicPeriod"/>
            <a:tabLst/>
            <a:defRPr/>
          </a:pPr>
          <a:endParaRPr kumimoji="0" lang="fr-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52000" marR="0" lvl="0" indent="0" algn="just" defTabSz="914400" eaLnBrk="1" fontAlgn="auto" latinLnBrk="0" hangingPunct="1">
            <a:lnSpc>
              <a:spcPct val="100000"/>
            </a:lnSpc>
            <a:spcBef>
              <a:spcPts val="0"/>
            </a:spcBef>
            <a:spcAft>
              <a:spcPts val="0"/>
            </a:spcAft>
            <a:buClrTx/>
            <a:buSzTx/>
            <a:buFontTx/>
            <a:buNone/>
            <a:tabLst/>
            <a:defRPr/>
          </a:pPr>
          <a:r>
            <a:rPr kumimoji="0" lang="fr-CA" sz="1100" b="0" i="0" u="sng" strike="noStrike" kern="0" cap="none" spc="0" normalizeH="0" baseline="0" noProof="0">
              <a:ln>
                <a:noFill/>
              </a:ln>
              <a:solidFill>
                <a:schemeClr val="accent6">
                  <a:lumMod val="50000"/>
                </a:schemeClr>
              </a:solidFill>
              <a:effectLst/>
              <a:uLnTx/>
              <a:uFillTx/>
              <a:latin typeface="Arial" panose="020B0604020202020204" pitchFamily="34" charset="0"/>
              <a:ea typeface="+mn-ea"/>
              <a:cs typeface="Arial" panose="020B0604020202020204" pitchFamily="34" charset="0"/>
            </a:rPr>
            <a:t>Nous avons utilisé un montant arbitraire de 1,75 $/100 kg en novembre et décembre 2024 ainsi qu'un montant de 1 $/100 kg en janvier 2025.</a:t>
          </a:r>
        </a:p>
        <a:p>
          <a:pPr marL="228600" marR="0" lvl="0" indent="-228600" algn="just" defTabSz="914400" eaLnBrk="1" fontAlgn="auto" latinLnBrk="0" hangingPunct="1">
            <a:lnSpc>
              <a:spcPct val="100000"/>
            </a:lnSpc>
            <a:spcBef>
              <a:spcPts val="0"/>
            </a:spcBef>
            <a:spcAft>
              <a:spcPts val="0"/>
            </a:spcAft>
            <a:buClrTx/>
            <a:buSzTx/>
            <a:buFont typeface="+mj-lt"/>
            <a:buAutoNum type="arabicPeriod"/>
            <a:tabLst/>
            <a:defRPr/>
          </a:pPr>
          <a:endParaRPr kumimoji="0" lang="fr-CA" sz="1100" b="0" i="0" u="none" strike="noStrike" kern="0" cap="none" spc="0" normalizeH="0" baseline="0" noProof="0">
            <a:ln>
              <a:noFill/>
            </a:ln>
            <a:solidFill>
              <a:srgbClr val="F79646">
                <a:lumMod val="50000"/>
              </a:srgbClr>
            </a:solidFill>
            <a:effectLst/>
            <a:uLnTx/>
            <a:uFillTx/>
            <a:latin typeface="Arial" panose="020B0604020202020204" pitchFamily="34" charset="0"/>
            <a:ea typeface="+mn-ea"/>
            <a:cs typeface="Arial" panose="020B0604020202020204" pitchFamily="34" charset="0"/>
          </a:endParaRPr>
        </a:p>
        <a:p>
          <a:pPr marL="228600" marR="0" lvl="0" indent="-228600" algn="just" defTabSz="914400" eaLnBrk="1" fontAlgn="auto" latinLnBrk="0" hangingPunct="1">
            <a:lnSpc>
              <a:spcPct val="100000"/>
            </a:lnSpc>
            <a:spcBef>
              <a:spcPts val="0"/>
            </a:spcBef>
            <a:spcAft>
              <a:spcPts val="0"/>
            </a:spcAft>
            <a:buClrTx/>
            <a:buSzTx/>
            <a:buFont typeface="+mj-lt"/>
            <a:buAutoNum type="arabicPeriod" startAt="3"/>
            <a:tabLst/>
            <a:defRPr/>
          </a:pPr>
          <a:r>
            <a:rPr kumimoji="0" lang="fr-CA" sz="1100" b="0" i="0" u="none" strike="noStrike" kern="0" cap="none" spc="0" normalizeH="0" baseline="0" noProof="0">
              <a:ln>
                <a:noFill/>
              </a:ln>
              <a:solidFill>
                <a:srgbClr val="F79646">
                  <a:lumMod val="50000"/>
                </a:srgbClr>
              </a:solidFill>
              <a:effectLst/>
              <a:uLnTx/>
              <a:uFillTx/>
              <a:latin typeface="Arial" panose="020B0604020202020204" pitchFamily="34" charset="0"/>
              <a:ea typeface="+mn-ea"/>
              <a:cs typeface="Arial" panose="020B0604020202020204" pitchFamily="34" charset="0"/>
            </a:rPr>
            <a:t>Le mécanisme de retrait temporaire n'est plus calculé ici. </a:t>
          </a: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Visant à diminuer la production de porcs de l'ordre d'un million de têtes par année, ce programme volontaire devait être financé avec un prélèvement de 2,49 $/100 kg carcasse pendant cinq ans. Cette mesure, approuvée par la Régie des marchés agricoles et agroalimentaires du Québec, est entrée en vigueur le 23 août 2023 et a pris fin le 5 octobre 2024. </a:t>
          </a:r>
        </a:p>
        <a:p>
          <a:pPr marL="228600" marR="0" lvl="0" indent="-228600" algn="just" defTabSz="914400" eaLnBrk="1" fontAlgn="auto" latinLnBrk="0" hangingPunct="1">
            <a:lnSpc>
              <a:spcPct val="100000"/>
            </a:lnSpc>
            <a:spcBef>
              <a:spcPts val="0"/>
            </a:spcBef>
            <a:spcAft>
              <a:spcPts val="0"/>
            </a:spcAft>
            <a:buClrTx/>
            <a:buSzTx/>
            <a:buFont typeface="+mj-lt"/>
            <a:buAutoNum type="arabicPeriod" startAt="3"/>
            <a:tabLst/>
            <a:defRPr/>
          </a:pPr>
          <a:endParaRPr kumimoji="0" lang="fr-CA" sz="11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252000" marR="0" lvl="0" indent="0" algn="just"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Or, ce prélèvement a été intégré dans le coût de production indexé 2023 de la ferme porcine naisseur-finisseur publié par la FADQ, de même que dans les données du Tendance pour l'année 2023 (quatre mois d'application vu son entrée en vigueur en août). De même, votre prix de 2023 tient déjà compte de ce prélèvement. Enfin, cette réduction n'affecte pas les prévisions de novembre et décembre 2024 puisqu'elle n'est plus en vigueur.  </a:t>
          </a:r>
        </a:p>
        <a:p>
          <a:pPr marL="252000" marR="0" lvl="0" indent="0" algn="just" defTabSz="914400" eaLnBrk="1" fontAlgn="auto" latinLnBrk="0" hangingPunct="1">
            <a:lnSpc>
              <a:spcPct val="100000"/>
            </a:lnSpc>
            <a:spcBef>
              <a:spcPts val="0"/>
            </a:spcBef>
            <a:spcAft>
              <a:spcPts val="0"/>
            </a:spcAft>
            <a:buClrTx/>
            <a:buSzTx/>
            <a:buFontTx/>
            <a:buNone/>
            <a:tabLst/>
            <a:defRPr/>
          </a:pPr>
          <a:endParaRPr kumimoji="0" lang="fr-CA" sz="11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252000" marR="0" lvl="0" indent="0" algn="just" defTabSz="914400" eaLnBrk="1" fontAlgn="auto" latinLnBrk="0" hangingPunct="1">
            <a:lnSpc>
              <a:spcPct val="100000"/>
            </a:lnSpc>
            <a:spcBef>
              <a:spcPts val="0"/>
            </a:spcBef>
            <a:spcAft>
              <a:spcPts val="0"/>
            </a:spcAft>
            <a:buClrTx/>
            <a:buSzTx/>
            <a:buFontTx/>
            <a:buNone/>
            <a:tabLst/>
            <a:defRPr/>
          </a:pPr>
          <a:r>
            <a:rPr kumimoji="0" lang="fr-CA" sz="11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Par conséquent, cette réduction du prix des porcs est déjà tenue en compte dans l'estimation de l'écart entre le revenu du marché et le revenu stabilisé ajusté de la feuille "Détails ASRA" pour l'année 2024. Elle n'est donc plus incluse dans cette feuille.  </a:t>
          </a:r>
        </a:p>
        <a:p>
          <a:pPr marL="228600" marR="0" lvl="0" indent="-228600" algn="just" defTabSz="914400" eaLnBrk="1" fontAlgn="auto" latinLnBrk="0" hangingPunct="1">
            <a:lnSpc>
              <a:spcPct val="100000"/>
            </a:lnSpc>
            <a:spcBef>
              <a:spcPts val="0"/>
            </a:spcBef>
            <a:spcAft>
              <a:spcPts val="0"/>
            </a:spcAft>
            <a:buClrTx/>
            <a:buSzTx/>
            <a:buFont typeface="+mj-lt"/>
            <a:buAutoNum type="arabicPeriod" startAt="3"/>
            <a:tabLst/>
            <a:defRPr/>
          </a:pPr>
          <a:endParaRPr kumimoji="0" lang="fr-CA"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304378</xdr:colOff>
      <xdr:row>0</xdr:row>
      <xdr:rowOff>1061155</xdr:rowOff>
    </xdr:from>
    <xdr:to>
      <xdr:col>6</xdr:col>
      <xdr:colOff>304604</xdr:colOff>
      <xdr:row>0</xdr:row>
      <xdr:rowOff>1337380</xdr:rowOff>
    </xdr:to>
    <xdr:sp macro="" textlink="">
      <xdr:nvSpPr>
        <xdr:cNvPr id="2" name="Text Box 34">
          <a:extLst>
            <a:ext uri="{FF2B5EF4-FFF2-40B4-BE49-F238E27FC236}">
              <a16:creationId xmlns:a16="http://schemas.microsoft.com/office/drawing/2014/main" id="{00000000-0008-0000-0300-000002000000}"/>
            </a:ext>
          </a:extLst>
        </xdr:cNvPr>
        <xdr:cNvSpPr txBox="1">
          <a:spLocks noChangeArrowheads="1"/>
        </xdr:cNvSpPr>
      </xdr:nvSpPr>
      <xdr:spPr bwMode="auto">
        <a:xfrm>
          <a:off x="674583" y="1061155"/>
          <a:ext cx="2667226" cy="276225"/>
        </a:xfrm>
        <a:prstGeom prst="rect">
          <a:avLst/>
        </a:prstGeom>
        <a:noFill/>
        <a:ln>
          <a:noFill/>
        </a:ln>
        <a:effectLst/>
      </xdr:spPr>
      <xdr:txBody>
        <a:bodyPr vertOverflow="clip" wrap="square" lIns="36576" tIns="36576" rIns="36576" bIns="36576" anchor="t" upright="1"/>
        <a:lstStyle/>
        <a:p>
          <a:pPr algn="l" rtl="0">
            <a:defRPr sz="1000"/>
          </a:pPr>
          <a:r>
            <a:rPr lang="fr-CA" sz="1000" b="1" i="0" u="none" strike="noStrike" baseline="0">
              <a:solidFill>
                <a:srgbClr val="FFFFFF"/>
              </a:solidFill>
              <a:latin typeface="Calibri"/>
              <a:cs typeface="Calibri"/>
            </a:rPr>
            <a:t>Feuillet d’information réalisé par le CDPQ</a:t>
          </a:r>
        </a:p>
        <a:p>
          <a:pPr algn="l" rtl="0">
            <a:defRPr sz="1000"/>
          </a:pPr>
          <a:endParaRPr lang="fr-CA" sz="1000" b="1" i="0" u="none" strike="noStrike" baseline="0">
            <a:solidFill>
              <a:srgbClr val="FFFFFF"/>
            </a:solidFill>
            <a:latin typeface="Calibri"/>
            <a:cs typeface="Calibri"/>
          </a:endParaRPr>
        </a:p>
      </xdr:txBody>
    </xdr:sp>
    <xdr:clientData/>
  </xdr:twoCellAnchor>
  <xdr:twoCellAnchor>
    <xdr:from>
      <xdr:col>2</xdr:col>
      <xdr:colOff>142875</xdr:colOff>
      <xdr:row>0</xdr:row>
      <xdr:rowOff>38100</xdr:rowOff>
    </xdr:from>
    <xdr:to>
      <xdr:col>13</xdr:col>
      <xdr:colOff>590550</xdr:colOff>
      <xdr:row>0</xdr:row>
      <xdr:rowOff>1800225</xdr:rowOff>
    </xdr:to>
    <xdr:grpSp>
      <xdr:nvGrpSpPr>
        <xdr:cNvPr id="47662" name="Group 42">
          <a:extLst>
            <a:ext uri="{FF2B5EF4-FFF2-40B4-BE49-F238E27FC236}">
              <a16:creationId xmlns:a16="http://schemas.microsoft.com/office/drawing/2014/main" id="{00000000-0008-0000-0300-00002EBA0000}"/>
            </a:ext>
          </a:extLst>
        </xdr:cNvPr>
        <xdr:cNvGrpSpPr>
          <a:grpSpLocks/>
        </xdr:cNvGrpSpPr>
      </xdr:nvGrpSpPr>
      <xdr:grpSpPr bwMode="auto">
        <a:xfrm>
          <a:off x="439208" y="38100"/>
          <a:ext cx="8120592" cy="1762125"/>
          <a:chOff x="1" y="9"/>
          <a:chExt cx="720" cy="187"/>
        </a:xfrm>
      </xdr:grpSpPr>
      <xdr:pic>
        <xdr:nvPicPr>
          <xdr:cNvPr id="47663" name="Image 21" descr="bandeau publication">
            <a:extLst>
              <a:ext uri="{FF2B5EF4-FFF2-40B4-BE49-F238E27FC236}">
                <a16:creationId xmlns:a16="http://schemas.microsoft.com/office/drawing/2014/main" id="{00000000-0008-0000-0300-00002FB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
            <a:ext cx="72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solidFill>
                  <a:srgbClr val="000000"/>
                </a:solidFill>
                <a:miter lim="800000"/>
                <a:headEnd/>
                <a:tailEnd/>
              </a14:hiddenLine>
            </a:ext>
          </a:extLst>
        </xdr:spPr>
      </xdr:pic>
      <xdr:sp macro="" textlink="">
        <xdr:nvSpPr>
          <xdr:cNvPr id="5" name="Text Box 32">
            <a:extLst>
              <a:ext uri="{FF2B5EF4-FFF2-40B4-BE49-F238E27FC236}">
                <a16:creationId xmlns:a16="http://schemas.microsoft.com/office/drawing/2014/main" id="{00000000-0008-0000-0300-000005000000}"/>
              </a:ext>
            </a:extLst>
          </xdr:cNvPr>
          <xdr:cNvSpPr txBox="1">
            <a:spLocks noChangeArrowheads="1"/>
          </xdr:cNvSpPr>
        </xdr:nvSpPr>
        <xdr:spPr bwMode="auto">
          <a:xfrm>
            <a:off x="666" y="113"/>
            <a:ext cx="54" cy="50"/>
          </a:xfrm>
          <a:prstGeom prst="rect">
            <a:avLst/>
          </a:prstGeom>
          <a:noFill/>
          <a:ln>
            <a:noFill/>
          </a:ln>
          <a:effectLst/>
        </xdr:spPr>
        <xdr:txBody>
          <a:bodyPr vertOverflow="clip" wrap="square" lIns="36576" tIns="36576" rIns="36576" bIns="36576" anchor="t" upright="1"/>
          <a:lstStyle/>
          <a:p>
            <a:pPr algn="r" rtl="0">
              <a:lnSpc>
                <a:spcPts val="1300"/>
              </a:lnSpc>
              <a:defRPr sz="1000"/>
            </a:pPr>
            <a:r>
              <a:rPr lang="fr-CA" sz="1300" b="1" i="0" u="none" strike="noStrike" baseline="0">
                <a:solidFill>
                  <a:srgbClr val="339966"/>
                </a:solidFill>
                <a:latin typeface="+mn-lt"/>
                <a:cs typeface="Calibri"/>
              </a:rPr>
              <a:t>Vol. 14</a:t>
            </a:r>
          </a:p>
          <a:p>
            <a:pPr algn="r" rtl="0">
              <a:lnSpc>
                <a:spcPts val="1300"/>
              </a:lnSpc>
              <a:defRPr sz="1000"/>
            </a:pPr>
            <a:r>
              <a:rPr lang="fr-CA" sz="1300" b="1" i="0" u="none" strike="noStrike" baseline="0">
                <a:solidFill>
                  <a:srgbClr val="339966"/>
                </a:solidFill>
                <a:latin typeface="+mn-lt"/>
                <a:cs typeface="Calibri"/>
              </a:rPr>
              <a:t>N</a:t>
            </a:r>
            <a:r>
              <a:rPr lang="fr-CA" sz="1300" b="1" i="0" u="none" strike="noStrike" baseline="30000">
                <a:solidFill>
                  <a:srgbClr val="339966"/>
                </a:solidFill>
                <a:latin typeface="+mn-lt"/>
                <a:cs typeface="Calibri"/>
              </a:rPr>
              <a:t>o</a:t>
            </a:r>
            <a:r>
              <a:rPr lang="fr-CA" sz="1300" b="1" i="0" u="none" strike="noStrike" baseline="0">
                <a:solidFill>
                  <a:srgbClr val="339966"/>
                </a:solidFill>
                <a:latin typeface="+mn-lt"/>
                <a:cs typeface="Calibri"/>
              </a:rPr>
              <a:t> 3</a:t>
            </a:r>
          </a:p>
        </xdr:txBody>
      </xdr:sp>
      <xdr:pic>
        <xdr:nvPicPr>
          <xdr:cNvPr id="47665" name="Image 24" descr="CDPQ_RVB">
            <a:extLst>
              <a:ext uri="{FF2B5EF4-FFF2-40B4-BE49-F238E27FC236}">
                <a16:creationId xmlns:a16="http://schemas.microsoft.com/office/drawing/2014/main" id="{00000000-0008-0000-0300-000031B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18"/>
            <a:ext cx="115" cy="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 Box 33">
            <a:extLst>
              <a:ext uri="{FF2B5EF4-FFF2-40B4-BE49-F238E27FC236}">
                <a16:creationId xmlns:a16="http://schemas.microsoft.com/office/drawing/2014/main" id="{00000000-0008-0000-0300-000007000000}"/>
              </a:ext>
            </a:extLst>
          </xdr:cNvPr>
          <xdr:cNvSpPr txBox="1">
            <a:spLocks noChangeArrowheads="1"/>
          </xdr:cNvSpPr>
        </xdr:nvSpPr>
        <xdr:spPr bwMode="auto">
          <a:xfrm>
            <a:off x="3" y="26"/>
            <a:ext cx="560" cy="66"/>
          </a:xfrm>
          <a:prstGeom prst="rect">
            <a:avLst/>
          </a:prstGeom>
          <a:noFill/>
          <a:ln>
            <a:noFill/>
          </a:ln>
          <a:effectLst/>
        </xdr:spPr>
        <xdr:txBody>
          <a:bodyPr vertOverflow="clip" wrap="square" lIns="36576" tIns="36576" rIns="36576" bIns="36576" anchor="t" upright="1"/>
          <a:lstStyle/>
          <a:p>
            <a:pPr algn="l" rtl="0">
              <a:defRPr sz="1000"/>
            </a:pPr>
            <a:r>
              <a:rPr lang="fr-CA" sz="1600" b="1" i="0" u="none" strike="noStrike" baseline="0">
                <a:solidFill>
                  <a:srgbClr val="FFFFFF"/>
                </a:solidFill>
                <a:latin typeface="Calibri"/>
                <a:cs typeface="Calibri"/>
              </a:rPr>
              <a:t>Tendances des prix du porc et des aliments</a:t>
            </a:r>
          </a:p>
          <a:p>
            <a:pPr algn="l" rtl="0">
              <a:defRPr sz="1000"/>
            </a:pPr>
            <a:r>
              <a:rPr lang="fr-CA" sz="1600" b="1" i="0" u="none" strike="noStrike" baseline="0">
                <a:solidFill>
                  <a:srgbClr val="FFFFFF"/>
                </a:solidFill>
                <a:latin typeface="Calibri"/>
                <a:cs typeface="Calibri"/>
              </a:rPr>
              <a:t>et prévision des compensations ASRA en production porcine</a:t>
            </a:r>
          </a:p>
          <a:p>
            <a:pPr algn="l" rtl="0">
              <a:defRPr sz="1000"/>
            </a:pPr>
            <a:endParaRPr lang="fr-CA" sz="1600" b="1" i="0" u="none" strike="noStrike" baseline="0">
              <a:solidFill>
                <a:srgbClr val="FFFFFF"/>
              </a:solidFill>
              <a:latin typeface="Calibri"/>
              <a:cs typeface="Calibri"/>
            </a:endParaRPr>
          </a:p>
        </xdr:txBody>
      </xdr:sp>
      <xdr:sp macro="" textlink="">
        <xdr:nvSpPr>
          <xdr:cNvPr id="8" name="Text Box 34">
            <a:extLst>
              <a:ext uri="{FF2B5EF4-FFF2-40B4-BE49-F238E27FC236}">
                <a16:creationId xmlns:a16="http://schemas.microsoft.com/office/drawing/2014/main" id="{00000000-0008-0000-0300-000008000000}"/>
              </a:ext>
            </a:extLst>
          </xdr:cNvPr>
          <xdr:cNvSpPr txBox="1">
            <a:spLocks noChangeArrowheads="1"/>
          </xdr:cNvSpPr>
        </xdr:nvSpPr>
        <xdr:spPr bwMode="auto">
          <a:xfrm>
            <a:off x="5" y="84"/>
            <a:ext cx="289" cy="34"/>
          </a:xfrm>
          <a:prstGeom prst="rect">
            <a:avLst/>
          </a:prstGeom>
          <a:noFill/>
          <a:ln>
            <a:noFill/>
          </a:ln>
          <a:effectLst/>
        </xdr:spPr>
        <xdr:txBody>
          <a:bodyPr vertOverflow="clip" wrap="square" lIns="36576" tIns="36576" rIns="36576" bIns="36576" anchor="t" upright="1"/>
          <a:lstStyle/>
          <a:p>
            <a:pPr algn="l" rtl="0">
              <a:defRPr sz="1000"/>
            </a:pPr>
            <a:r>
              <a:rPr lang="fr-CA" sz="1000" b="1" i="0" u="none" strike="noStrike" baseline="0">
                <a:solidFill>
                  <a:srgbClr val="FFFFFF"/>
                </a:solidFill>
                <a:latin typeface="Calibri"/>
                <a:cs typeface="Calibri"/>
              </a:rPr>
              <a:t>Feuillet d’information réalisé par le CDPQ</a:t>
            </a:r>
          </a:p>
          <a:p>
            <a:pPr algn="l" rtl="0">
              <a:lnSpc>
                <a:spcPts val="1100"/>
              </a:lnSpc>
              <a:defRPr sz="1000"/>
            </a:pPr>
            <a:endParaRPr lang="fr-CA" sz="1000" b="1" i="0" u="none" strike="noStrike" baseline="0">
              <a:solidFill>
                <a:srgbClr val="FFFFFF"/>
              </a:solidFill>
              <a:latin typeface="Calibri"/>
              <a:cs typeface="Calibri"/>
            </a:endParaRPr>
          </a:p>
        </xdr:txBody>
      </xdr:sp>
      <xdr:sp macro="" textlink="">
        <xdr:nvSpPr>
          <xdr:cNvPr id="9" name="Text Box 35">
            <a:extLst>
              <a:ext uri="{FF2B5EF4-FFF2-40B4-BE49-F238E27FC236}">
                <a16:creationId xmlns:a16="http://schemas.microsoft.com/office/drawing/2014/main" id="{00000000-0008-0000-0300-000009000000}"/>
              </a:ext>
            </a:extLst>
          </xdr:cNvPr>
          <xdr:cNvSpPr txBox="1">
            <a:spLocks noChangeArrowheads="1"/>
          </xdr:cNvSpPr>
        </xdr:nvSpPr>
        <xdr:spPr bwMode="auto">
          <a:xfrm>
            <a:off x="432" y="111"/>
            <a:ext cx="118" cy="55"/>
          </a:xfrm>
          <a:prstGeom prst="rect">
            <a:avLst/>
          </a:prstGeom>
          <a:noFill/>
          <a:ln>
            <a:noFill/>
          </a:ln>
          <a:effectLst/>
        </xdr:spPr>
        <xdr:txBody>
          <a:bodyPr vertOverflow="clip" wrap="square" lIns="36576" tIns="36576" rIns="36576" bIns="36576" anchor="t" upright="1"/>
          <a:lstStyle/>
          <a:p>
            <a:pPr algn="r" rtl="0">
              <a:defRPr sz="1000"/>
            </a:pPr>
            <a:r>
              <a:rPr lang="fr-CA" sz="1300" b="1" i="0" strike="noStrike">
                <a:solidFill>
                  <a:srgbClr val="339966"/>
                </a:solidFill>
                <a:latin typeface="+mn-lt"/>
                <a:ea typeface="+mn-ea"/>
                <a:cs typeface="+mn-cs"/>
              </a:rPr>
              <a:t>Novembre</a:t>
            </a:r>
          </a:p>
          <a:p>
            <a:pPr algn="r" rtl="0">
              <a:defRPr sz="1000"/>
            </a:pPr>
            <a:r>
              <a:rPr lang="fr-CA" sz="1300" b="1" i="0" strike="noStrike">
                <a:solidFill>
                  <a:srgbClr val="339966"/>
                </a:solidFill>
                <a:latin typeface="+mn-lt"/>
              </a:rPr>
              <a:t>2024</a:t>
            </a:r>
          </a:p>
          <a:p>
            <a:pPr algn="r" rtl="0">
              <a:defRPr sz="1000"/>
            </a:pPr>
            <a:endParaRPr lang="fr-CA" sz="1300" b="1" i="0" strike="noStrike">
              <a:solidFill>
                <a:srgbClr val="339966"/>
              </a:solidFill>
              <a:latin typeface="+mn-lt"/>
            </a:endParaRPr>
          </a:p>
          <a:p>
            <a:pPr algn="r" rtl="0">
              <a:defRPr sz="1000"/>
            </a:pPr>
            <a:endParaRPr lang="fr-CA" sz="1300" b="1" i="0" strike="noStrike">
              <a:solidFill>
                <a:srgbClr val="339966"/>
              </a:solidFill>
              <a:latin typeface="Calibri"/>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252414</xdr:colOff>
      <xdr:row>13</xdr:row>
      <xdr:rowOff>76673</xdr:rowOff>
    </xdr:from>
    <xdr:to>
      <xdr:col>16</xdr:col>
      <xdr:colOff>38712</xdr:colOff>
      <xdr:row>21</xdr:row>
      <xdr:rowOff>67653</xdr:rowOff>
    </xdr:to>
    <xdr:sp macro="" textlink="">
      <xdr:nvSpPr>
        <xdr:cNvPr id="2" name="Légende encadrée avec une bordure 1 1">
          <a:extLst>
            <a:ext uri="{FF2B5EF4-FFF2-40B4-BE49-F238E27FC236}">
              <a16:creationId xmlns:a16="http://schemas.microsoft.com/office/drawing/2014/main" id="{00000000-0008-0000-0600-000002000000}"/>
            </a:ext>
          </a:extLst>
        </xdr:cNvPr>
        <xdr:cNvSpPr/>
      </xdr:nvSpPr>
      <xdr:spPr>
        <a:xfrm>
          <a:off x="11414127" y="2545553"/>
          <a:ext cx="754061" cy="1507330"/>
        </a:xfrm>
        <a:prstGeom prst="accentBorderCallout1">
          <a:avLst>
            <a:gd name="adj1" fmla="val 18750"/>
            <a:gd name="adj2" fmla="val -8333"/>
            <a:gd name="adj3" fmla="val 67508"/>
            <a:gd name="adj4" fmla="val -37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lang="fr-FR" sz="1100"/>
            <a:t>Recopier la cellule</a:t>
          </a:r>
          <a:r>
            <a:rPr lang="fr-FR" sz="1100" baseline="0"/>
            <a:t> de la dernière ligne au fur et à mesure des années</a:t>
          </a:r>
          <a:endParaRPr lang="fr-FR" sz="1100"/>
        </a:p>
      </xdr:txBody>
    </xdr:sp>
    <xdr:clientData/>
  </xdr:twoCellAnchor>
  <xdr:twoCellAnchor>
    <xdr:from>
      <xdr:col>11</xdr:col>
      <xdr:colOff>416400</xdr:colOff>
      <xdr:row>23</xdr:row>
      <xdr:rowOff>73817</xdr:rowOff>
    </xdr:from>
    <xdr:to>
      <xdr:col>13</xdr:col>
      <xdr:colOff>640284</xdr:colOff>
      <xdr:row>29</xdr:row>
      <xdr:rowOff>73818</xdr:rowOff>
    </xdr:to>
    <xdr:sp macro="" textlink="">
      <xdr:nvSpPr>
        <xdr:cNvPr id="3" name="Légende encadrée avec une bordure 1 2">
          <a:extLst>
            <a:ext uri="{FF2B5EF4-FFF2-40B4-BE49-F238E27FC236}">
              <a16:creationId xmlns:a16="http://schemas.microsoft.com/office/drawing/2014/main" id="{00000000-0008-0000-0600-000003000000}"/>
            </a:ext>
          </a:extLst>
        </xdr:cNvPr>
        <xdr:cNvSpPr/>
      </xdr:nvSpPr>
      <xdr:spPr>
        <a:xfrm>
          <a:off x="8449468" y="4455317"/>
          <a:ext cx="1622025" cy="1143001"/>
        </a:xfrm>
        <a:prstGeom prst="accentBorderCallout1">
          <a:avLst>
            <a:gd name="adj1" fmla="val 18750"/>
            <a:gd name="adj2" fmla="val -8333"/>
            <a:gd name="adj3" fmla="val -106363"/>
            <a:gd name="adj4" fmla="val -24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lang="fr-FR" sz="1100"/>
            <a:t>Ces montants proviennent</a:t>
          </a:r>
          <a:r>
            <a:rPr lang="fr-FR" sz="1100" baseline="0"/>
            <a:t> de  la prévision dans l'onglet Outils et résultats produits par le MensuelPorcs.</a:t>
          </a:r>
          <a:endParaRPr lang="fr-FR" sz="1100"/>
        </a:p>
      </xdr:txBody>
    </xdr:sp>
    <xdr:clientData/>
  </xdr:twoCellAnchor>
  <xdr:twoCellAnchor editAs="oneCell">
    <xdr:from>
      <xdr:col>1</xdr:col>
      <xdr:colOff>114300</xdr:colOff>
      <xdr:row>24</xdr:row>
      <xdr:rowOff>66675</xdr:rowOff>
    </xdr:from>
    <xdr:to>
      <xdr:col>8</xdr:col>
      <xdr:colOff>409575</xdr:colOff>
      <xdr:row>40</xdr:row>
      <xdr:rowOff>152400</xdr:rowOff>
    </xdr:to>
    <xdr:pic>
      <xdr:nvPicPr>
        <xdr:cNvPr id="43518" name="Image 3">
          <a:extLst>
            <a:ext uri="{FF2B5EF4-FFF2-40B4-BE49-F238E27FC236}">
              <a16:creationId xmlns:a16="http://schemas.microsoft.com/office/drawing/2014/main" id="{00000000-0008-0000-0600-0000FEA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4638675"/>
          <a:ext cx="5010150"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AAD9F-CDF5-465C-8521-A1CB384CE87D}">
  <dimension ref="A1:J157"/>
  <sheetViews>
    <sheetView showGridLines="0" showRowColHeaders="0" tabSelected="1" zoomScale="90" zoomScaleNormal="90" workbookViewId="0">
      <selection activeCell="P42" sqref="P42"/>
    </sheetView>
  </sheetViews>
  <sheetFormatPr baseColWidth="10" defaultColWidth="10.85546875" defaultRowHeight="12.75" x14ac:dyDescent="0.2"/>
  <cols>
    <col min="1" max="8" width="10.85546875" style="185"/>
    <col min="9" max="9" width="11.28515625" style="185" customWidth="1"/>
    <col min="10" max="16384" width="10.85546875" style="185"/>
  </cols>
  <sheetData>
    <row r="1" spans="1:10" ht="121.5" customHeight="1" x14ac:dyDescent="0.2">
      <c r="A1"/>
      <c r="B1"/>
      <c r="C1"/>
      <c r="D1"/>
      <c r="E1"/>
      <c r="F1"/>
      <c r="G1"/>
      <c r="H1"/>
      <c r="I1"/>
    </row>
    <row r="2" spans="1:10" ht="15.75" customHeight="1" x14ac:dyDescent="0.25">
      <c r="A2"/>
      <c r="B2"/>
      <c r="C2"/>
      <c r="D2"/>
      <c r="E2"/>
      <c r="F2" s="377"/>
      <c r="G2" s="378"/>
      <c r="H2" s="379"/>
      <c r="I2" s="379"/>
      <c r="J2" s="186"/>
    </row>
    <row r="3" spans="1:10" ht="10.5" customHeight="1" x14ac:dyDescent="0.2">
      <c r="A3"/>
      <c r="B3"/>
      <c r="C3"/>
      <c r="D3"/>
      <c r="E3"/>
      <c r="F3"/>
      <c r="G3"/>
      <c r="H3"/>
      <c r="I3"/>
    </row>
    <row r="4" spans="1:10" ht="15" x14ac:dyDescent="0.25">
      <c r="A4"/>
      <c r="B4"/>
      <c r="C4"/>
      <c r="D4"/>
      <c r="E4"/>
      <c r="F4"/>
      <c r="G4"/>
      <c r="H4" s="380"/>
      <c r="I4" s="381"/>
    </row>
    <row r="5" spans="1:10" x14ac:dyDescent="0.2">
      <c r="A5"/>
      <c r="B5"/>
      <c r="C5"/>
      <c r="D5"/>
      <c r="E5"/>
      <c r="F5"/>
      <c r="G5"/>
      <c r="H5"/>
      <c r="I5"/>
    </row>
    <row r="6" spans="1:10" x14ac:dyDescent="0.2">
      <c r="A6"/>
      <c r="B6"/>
      <c r="C6"/>
      <c r="D6"/>
      <c r="E6"/>
      <c r="F6"/>
      <c r="G6"/>
      <c r="H6"/>
      <c r="I6"/>
    </row>
    <row r="7" spans="1:10" x14ac:dyDescent="0.2">
      <c r="A7"/>
      <c r="B7"/>
      <c r="C7"/>
      <c r="D7"/>
      <c r="E7"/>
      <c r="F7"/>
      <c r="G7"/>
      <c r="H7"/>
      <c r="I7"/>
    </row>
    <row r="8" spans="1:10" x14ac:dyDescent="0.2">
      <c r="A8"/>
      <c r="B8"/>
      <c r="C8"/>
      <c r="D8"/>
      <c r="E8"/>
      <c r="F8"/>
      <c r="G8"/>
      <c r="H8"/>
      <c r="I8"/>
    </row>
    <row r="9" spans="1:10" x14ac:dyDescent="0.2">
      <c r="A9"/>
      <c r="B9"/>
      <c r="C9"/>
      <c r="D9"/>
      <c r="E9"/>
      <c r="F9"/>
      <c r="G9"/>
      <c r="H9"/>
      <c r="I9"/>
    </row>
    <row r="10" spans="1:10" x14ac:dyDescent="0.2">
      <c r="A10"/>
      <c r="B10"/>
      <c r="C10"/>
      <c r="D10"/>
      <c r="E10"/>
      <c r="F10"/>
      <c r="G10"/>
      <c r="H10"/>
      <c r="I10"/>
    </row>
    <row r="11" spans="1:10" x14ac:dyDescent="0.2">
      <c r="A11"/>
      <c r="B11"/>
      <c r="C11"/>
      <c r="D11"/>
      <c r="E11"/>
      <c r="F11"/>
      <c r="G11"/>
      <c r="H11"/>
      <c r="I11"/>
    </row>
    <row r="12" spans="1:10" x14ac:dyDescent="0.2">
      <c r="A12"/>
      <c r="B12"/>
      <c r="C12"/>
      <c r="D12"/>
      <c r="E12"/>
      <c r="F12"/>
      <c r="G12"/>
      <c r="H12"/>
      <c r="I12"/>
    </row>
    <row r="13" spans="1:10" x14ac:dyDescent="0.2">
      <c r="A13"/>
      <c r="B13"/>
      <c r="C13"/>
      <c r="D13"/>
      <c r="E13"/>
      <c r="F13"/>
      <c r="G13"/>
      <c r="H13"/>
      <c r="I13"/>
    </row>
    <row r="14" spans="1:10" x14ac:dyDescent="0.2">
      <c r="A14"/>
      <c r="B14"/>
      <c r="C14"/>
      <c r="D14"/>
      <c r="E14"/>
      <c r="F14"/>
      <c r="G14"/>
      <c r="H14"/>
      <c r="I14"/>
    </row>
    <row r="15" spans="1:10" x14ac:dyDescent="0.2">
      <c r="A15"/>
      <c r="B15"/>
      <c r="C15"/>
      <c r="D15"/>
      <c r="E15"/>
      <c r="F15"/>
      <c r="G15"/>
      <c r="H15"/>
      <c r="I15"/>
    </row>
    <row r="16" spans="1:10" x14ac:dyDescent="0.2">
      <c r="A16"/>
      <c r="B16"/>
      <c r="C16"/>
      <c r="D16"/>
      <c r="E16"/>
      <c r="F16"/>
      <c r="G16"/>
      <c r="H16"/>
      <c r="I16"/>
    </row>
    <row r="17" spans="1:9" x14ac:dyDescent="0.2">
      <c r="A17"/>
      <c r="B17"/>
      <c r="C17"/>
      <c r="D17"/>
      <c r="E17"/>
      <c r="F17"/>
      <c r="G17"/>
      <c r="H17"/>
      <c r="I17"/>
    </row>
    <row r="18" spans="1:9" x14ac:dyDescent="0.2">
      <c r="A18"/>
      <c r="B18"/>
      <c r="C18"/>
      <c r="D18"/>
      <c r="E18"/>
      <c r="F18"/>
      <c r="G18"/>
      <c r="H18"/>
      <c r="I18"/>
    </row>
    <row r="19" spans="1:9" x14ac:dyDescent="0.2">
      <c r="A19"/>
      <c r="B19"/>
      <c r="C19"/>
      <c r="D19"/>
      <c r="E19"/>
      <c r="F19"/>
      <c r="G19"/>
      <c r="H19"/>
      <c r="I19"/>
    </row>
    <row r="20" spans="1:9" x14ac:dyDescent="0.2">
      <c r="A20"/>
      <c r="B20"/>
      <c r="C20"/>
      <c r="D20"/>
      <c r="E20"/>
      <c r="F20"/>
      <c r="G20"/>
      <c r="H20"/>
      <c r="I20"/>
    </row>
    <row r="21" spans="1:9" x14ac:dyDescent="0.2">
      <c r="A21"/>
      <c r="B21"/>
      <c r="C21"/>
      <c r="D21"/>
      <c r="E21"/>
      <c r="F21"/>
      <c r="G21"/>
      <c r="H21"/>
      <c r="I21"/>
    </row>
    <row r="22" spans="1:9" x14ac:dyDescent="0.2">
      <c r="A22"/>
      <c r="B22"/>
      <c r="C22"/>
      <c r="D22"/>
      <c r="E22"/>
      <c r="F22"/>
      <c r="G22"/>
      <c r="H22"/>
      <c r="I22"/>
    </row>
    <row r="23" spans="1:9" x14ac:dyDescent="0.2">
      <c r="A23"/>
      <c r="B23"/>
      <c r="C23"/>
      <c r="D23"/>
      <c r="E23"/>
      <c r="F23"/>
      <c r="G23"/>
      <c r="H23"/>
      <c r="I23"/>
    </row>
    <row r="24" spans="1:9" x14ac:dyDescent="0.2">
      <c r="A24"/>
      <c r="B24"/>
      <c r="C24"/>
      <c r="D24"/>
      <c r="E24"/>
      <c r="F24"/>
      <c r="G24"/>
      <c r="H24"/>
      <c r="I24"/>
    </row>
    <row r="25" spans="1:9" x14ac:dyDescent="0.2">
      <c r="A25"/>
      <c r="B25"/>
      <c r="C25"/>
      <c r="D25"/>
      <c r="E25"/>
      <c r="F25"/>
      <c r="G25"/>
      <c r="H25"/>
      <c r="I25"/>
    </row>
    <row r="26" spans="1:9" x14ac:dyDescent="0.2">
      <c r="A26"/>
      <c r="B26"/>
      <c r="C26"/>
      <c r="D26"/>
      <c r="E26"/>
      <c r="F26"/>
      <c r="G26"/>
      <c r="H26"/>
      <c r="I26"/>
    </row>
    <row r="27" spans="1:9" x14ac:dyDescent="0.2">
      <c r="A27"/>
      <c r="B27"/>
      <c r="C27"/>
      <c r="D27"/>
      <c r="E27"/>
      <c r="F27"/>
      <c r="G27"/>
      <c r="H27"/>
      <c r="I27"/>
    </row>
    <row r="28" spans="1:9" x14ac:dyDescent="0.2">
      <c r="A28"/>
      <c r="B28"/>
      <c r="C28"/>
      <c r="D28"/>
      <c r="E28"/>
      <c r="F28"/>
      <c r="G28"/>
      <c r="H28"/>
      <c r="I28"/>
    </row>
    <row r="29" spans="1:9" x14ac:dyDescent="0.2">
      <c r="A29"/>
      <c r="B29"/>
      <c r="C29"/>
      <c r="D29"/>
      <c r="E29"/>
      <c r="F29"/>
      <c r="G29"/>
      <c r="H29"/>
      <c r="I29"/>
    </row>
    <row r="30" spans="1:9" x14ac:dyDescent="0.2">
      <c r="A30"/>
      <c r="B30"/>
      <c r="C30"/>
      <c r="D30"/>
      <c r="E30"/>
      <c r="F30"/>
      <c r="G30"/>
      <c r="H30"/>
      <c r="I30"/>
    </row>
    <row r="31" spans="1:9" x14ac:dyDescent="0.2">
      <c r="A31"/>
      <c r="B31"/>
      <c r="C31"/>
      <c r="D31"/>
      <c r="E31"/>
      <c r="F31"/>
      <c r="G31"/>
      <c r="H31"/>
      <c r="I31"/>
    </row>
    <row r="32" spans="1:9" x14ac:dyDescent="0.2">
      <c r="A32"/>
      <c r="B32"/>
      <c r="C32"/>
      <c r="D32"/>
      <c r="E32"/>
      <c r="F32"/>
      <c r="G32"/>
      <c r="H32"/>
      <c r="I32"/>
    </row>
    <row r="33" spans="1:9" x14ac:dyDescent="0.2">
      <c r="A33"/>
      <c r="B33"/>
      <c r="C33"/>
      <c r="D33"/>
      <c r="E33"/>
      <c r="F33"/>
      <c r="G33"/>
      <c r="H33"/>
      <c r="I33"/>
    </row>
    <row r="34" spans="1:9" x14ac:dyDescent="0.2">
      <c r="A34"/>
      <c r="B34"/>
      <c r="C34"/>
      <c r="D34"/>
      <c r="E34"/>
      <c r="F34"/>
      <c r="G34"/>
      <c r="H34"/>
      <c r="I34"/>
    </row>
    <row r="35" spans="1:9" x14ac:dyDescent="0.2">
      <c r="A35"/>
      <c r="B35"/>
      <c r="C35"/>
      <c r="D35"/>
      <c r="E35"/>
      <c r="F35"/>
      <c r="G35"/>
      <c r="H35"/>
      <c r="I35"/>
    </row>
    <row r="36" spans="1:9" x14ac:dyDescent="0.2">
      <c r="A36"/>
      <c r="B36"/>
      <c r="C36"/>
      <c r="D36"/>
      <c r="E36"/>
      <c r="F36"/>
      <c r="G36"/>
      <c r="H36"/>
      <c r="I36"/>
    </row>
    <row r="37" spans="1:9" x14ac:dyDescent="0.2">
      <c r="A37"/>
      <c r="B37"/>
      <c r="C37"/>
      <c r="D37"/>
      <c r="E37"/>
      <c r="F37"/>
      <c r="G37"/>
      <c r="H37"/>
      <c r="I37"/>
    </row>
    <row r="38" spans="1:9" x14ac:dyDescent="0.2">
      <c r="A38"/>
      <c r="B38"/>
      <c r="C38"/>
      <c r="D38"/>
      <c r="E38"/>
      <c r="F38"/>
      <c r="G38"/>
      <c r="H38"/>
      <c r="I38"/>
    </row>
    <row r="39" spans="1:9" x14ac:dyDescent="0.2">
      <c r="A39"/>
      <c r="B39"/>
      <c r="C39"/>
      <c r="D39"/>
      <c r="E39"/>
      <c r="F39"/>
      <c r="G39"/>
      <c r="H39"/>
      <c r="I39"/>
    </row>
    <row r="40" spans="1:9" x14ac:dyDescent="0.2">
      <c r="A40"/>
      <c r="B40"/>
      <c r="C40"/>
      <c r="D40"/>
      <c r="E40"/>
      <c r="F40"/>
      <c r="G40"/>
      <c r="H40"/>
      <c r="I40"/>
    </row>
    <row r="41" spans="1:9" x14ac:dyDescent="0.2">
      <c r="A41"/>
      <c r="B41"/>
      <c r="C41"/>
      <c r="D41"/>
      <c r="E41"/>
      <c r="F41"/>
      <c r="G41"/>
      <c r="H41"/>
      <c r="I41"/>
    </row>
    <row r="42" spans="1:9" x14ac:dyDescent="0.2">
      <c r="A42"/>
      <c r="B42"/>
      <c r="C42"/>
      <c r="D42"/>
      <c r="E42"/>
      <c r="F42"/>
      <c r="G42"/>
      <c r="H42"/>
      <c r="I42"/>
    </row>
    <row r="43" spans="1:9" x14ac:dyDescent="0.2">
      <c r="A43"/>
      <c r="B43"/>
      <c r="C43"/>
      <c r="D43"/>
      <c r="E43"/>
      <c r="F43"/>
      <c r="G43"/>
      <c r="H43"/>
      <c r="I43"/>
    </row>
    <row r="44" spans="1:9" x14ac:dyDescent="0.2">
      <c r="A44"/>
      <c r="B44"/>
      <c r="C44"/>
      <c r="D44"/>
      <c r="E44"/>
      <c r="F44"/>
      <c r="G44"/>
      <c r="H44"/>
      <c r="I44"/>
    </row>
    <row r="45" spans="1:9" x14ac:dyDescent="0.2">
      <c r="A45"/>
      <c r="B45"/>
      <c r="C45"/>
      <c r="D45"/>
      <c r="E45"/>
      <c r="F45"/>
      <c r="G45"/>
      <c r="H45"/>
      <c r="I45"/>
    </row>
    <row r="46" spans="1:9" x14ac:dyDescent="0.2">
      <c r="A46"/>
      <c r="B46"/>
      <c r="C46"/>
      <c r="D46"/>
      <c r="E46"/>
      <c r="F46"/>
      <c r="G46"/>
      <c r="H46"/>
      <c r="I46"/>
    </row>
    <row r="47" spans="1:9" x14ac:dyDescent="0.2">
      <c r="A47"/>
      <c r="B47"/>
      <c r="C47"/>
      <c r="D47"/>
      <c r="E47"/>
      <c r="F47"/>
      <c r="G47"/>
      <c r="H47"/>
      <c r="I47"/>
    </row>
    <row r="48" spans="1:9" x14ac:dyDescent="0.2">
      <c r="A48"/>
      <c r="B48"/>
      <c r="C48"/>
      <c r="D48"/>
      <c r="E48"/>
      <c r="F48"/>
      <c r="G48"/>
      <c r="H48"/>
      <c r="I48"/>
    </row>
    <row r="49" spans="1:10" x14ac:dyDescent="0.2">
      <c r="A49"/>
      <c r="B49"/>
      <c r="C49"/>
      <c r="D49"/>
      <c r="E49"/>
      <c r="F49"/>
      <c r="G49"/>
      <c r="H49"/>
      <c r="I49"/>
    </row>
    <row r="50" spans="1:10" x14ac:dyDescent="0.2">
      <c r="A50"/>
      <c r="B50"/>
      <c r="C50"/>
      <c r="D50"/>
      <c r="E50"/>
      <c r="F50"/>
      <c r="G50"/>
      <c r="H50"/>
      <c r="I50"/>
    </row>
    <row r="51" spans="1:10" x14ac:dyDescent="0.2">
      <c r="A51"/>
      <c r="B51"/>
      <c r="C51"/>
      <c r="D51"/>
      <c r="E51"/>
      <c r="F51"/>
      <c r="G51"/>
      <c r="H51"/>
      <c r="I51"/>
    </row>
    <row r="52" spans="1:10" x14ac:dyDescent="0.2">
      <c r="A52"/>
      <c r="B52"/>
      <c r="C52"/>
      <c r="D52"/>
      <c r="E52"/>
      <c r="F52"/>
      <c r="G52"/>
      <c r="H52"/>
      <c r="I52"/>
    </row>
    <row r="53" spans="1:10" x14ac:dyDescent="0.2">
      <c r="A53"/>
      <c r="B53"/>
      <c r="C53"/>
      <c r="D53"/>
      <c r="E53"/>
      <c r="F53"/>
      <c r="G53"/>
      <c r="H53"/>
      <c r="I53"/>
      <c r="J53" s="186"/>
    </row>
    <row r="54" spans="1:10" x14ac:dyDescent="0.2">
      <c r="A54"/>
      <c r="B54"/>
      <c r="C54"/>
      <c r="D54"/>
      <c r="E54"/>
      <c r="F54"/>
      <c r="G54"/>
      <c r="H54"/>
      <c r="I54"/>
    </row>
    <row r="55" spans="1:10" x14ac:dyDescent="0.2">
      <c r="A55"/>
      <c r="B55"/>
      <c r="C55"/>
      <c r="D55"/>
      <c r="E55"/>
      <c r="F55"/>
      <c r="G55"/>
      <c r="H55"/>
      <c r="I55"/>
    </row>
    <row r="56" spans="1:10" x14ac:dyDescent="0.2">
      <c r="A56"/>
      <c r="B56"/>
      <c r="C56"/>
      <c r="D56"/>
      <c r="E56"/>
      <c r="F56"/>
      <c r="G56"/>
      <c r="H56"/>
      <c r="I56"/>
    </row>
    <row r="57" spans="1:10" x14ac:dyDescent="0.2">
      <c r="A57"/>
      <c r="B57"/>
      <c r="C57"/>
      <c r="D57"/>
      <c r="E57"/>
      <c r="F57"/>
      <c r="G57"/>
      <c r="H57"/>
      <c r="I57"/>
    </row>
    <row r="58" spans="1:10" x14ac:dyDescent="0.2">
      <c r="A58"/>
      <c r="B58"/>
      <c r="C58"/>
      <c r="D58"/>
      <c r="E58"/>
      <c r="F58"/>
      <c r="G58"/>
      <c r="H58"/>
      <c r="I58"/>
    </row>
    <row r="59" spans="1:10" x14ac:dyDescent="0.2">
      <c r="A59"/>
      <c r="B59"/>
      <c r="C59"/>
      <c r="D59"/>
      <c r="E59"/>
      <c r="F59"/>
      <c r="G59"/>
      <c r="H59"/>
      <c r="I59"/>
    </row>
    <row r="60" spans="1:10" x14ac:dyDescent="0.2">
      <c r="A60"/>
      <c r="B60"/>
      <c r="C60"/>
      <c r="D60"/>
      <c r="E60"/>
      <c r="F60"/>
      <c r="G60"/>
      <c r="H60"/>
      <c r="I60"/>
    </row>
    <row r="61" spans="1:10" x14ac:dyDescent="0.2">
      <c r="A61"/>
      <c r="B61"/>
      <c r="C61"/>
      <c r="D61"/>
      <c r="E61"/>
      <c r="F61"/>
      <c r="G61"/>
      <c r="H61"/>
      <c r="I61"/>
    </row>
    <row r="62" spans="1:10" x14ac:dyDescent="0.2">
      <c r="A62"/>
      <c r="B62"/>
      <c r="C62"/>
      <c r="D62"/>
      <c r="E62"/>
      <c r="F62"/>
      <c r="G62"/>
      <c r="H62"/>
      <c r="I62"/>
    </row>
    <row r="63" spans="1:10" x14ac:dyDescent="0.2">
      <c r="A63"/>
      <c r="B63"/>
      <c r="C63"/>
      <c r="D63"/>
      <c r="E63"/>
      <c r="F63"/>
      <c r="G63"/>
      <c r="H63"/>
      <c r="I63"/>
    </row>
    <row r="64" spans="1:10" x14ac:dyDescent="0.2">
      <c r="A64"/>
      <c r="B64"/>
      <c r="C64"/>
      <c r="D64"/>
      <c r="E64"/>
      <c r="F64"/>
      <c r="G64"/>
      <c r="H64"/>
      <c r="I64"/>
    </row>
    <row r="65" spans="1:9" x14ac:dyDescent="0.2">
      <c r="A65"/>
      <c r="B65"/>
      <c r="C65"/>
      <c r="D65"/>
      <c r="E65"/>
      <c r="F65"/>
      <c r="G65"/>
      <c r="H65"/>
      <c r="I65"/>
    </row>
    <row r="66" spans="1:9" x14ac:dyDescent="0.2">
      <c r="A66"/>
      <c r="B66"/>
      <c r="C66"/>
      <c r="D66"/>
      <c r="E66"/>
      <c r="F66"/>
      <c r="G66"/>
      <c r="H66"/>
      <c r="I66"/>
    </row>
    <row r="67" spans="1:9" x14ac:dyDescent="0.2">
      <c r="A67"/>
      <c r="B67"/>
      <c r="C67"/>
      <c r="D67"/>
      <c r="E67"/>
      <c r="F67"/>
      <c r="G67"/>
      <c r="H67"/>
      <c r="I67"/>
    </row>
    <row r="68" spans="1:9" x14ac:dyDescent="0.2">
      <c r="A68"/>
      <c r="B68"/>
      <c r="C68"/>
      <c r="D68"/>
      <c r="E68"/>
      <c r="F68"/>
      <c r="G68"/>
      <c r="H68"/>
      <c r="I68"/>
    </row>
    <row r="69" spans="1:9" x14ac:dyDescent="0.2">
      <c r="A69"/>
      <c r="B69"/>
      <c r="C69"/>
      <c r="D69"/>
      <c r="E69"/>
      <c r="F69"/>
      <c r="G69"/>
      <c r="H69"/>
      <c r="I69"/>
    </row>
    <row r="70" spans="1:9" x14ac:dyDescent="0.2">
      <c r="A70"/>
      <c r="B70"/>
      <c r="C70"/>
      <c r="D70"/>
      <c r="E70"/>
      <c r="F70"/>
      <c r="G70"/>
      <c r="H70"/>
      <c r="I70"/>
    </row>
    <row r="71" spans="1:9" x14ac:dyDescent="0.2">
      <c r="A71"/>
      <c r="B71"/>
      <c r="C71"/>
      <c r="D71"/>
      <c r="E71"/>
      <c r="F71"/>
      <c r="G71"/>
      <c r="H71"/>
      <c r="I71"/>
    </row>
    <row r="72" spans="1:9" x14ac:dyDescent="0.2">
      <c r="A72"/>
      <c r="B72"/>
      <c r="C72"/>
      <c r="D72"/>
      <c r="E72"/>
      <c r="F72"/>
      <c r="G72"/>
      <c r="H72"/>
      <c r="I72"/>
    </row>
    <row r="73" spans="1:9" x14ac:dyDescent="0.2">
      <c r="A73"/>
      <c r="B73"/>
      <c r="C73"/>
      <c r="D73"/>
      <c r="E73"/>
      <c r="F73"/>
      <c r="G73"/>
      <c r="H73"/>
      <c r="I73"/>
    </row>
    <row r="74" spans="1:9" x14ac:dyDescent="0.2">
      <c r="A74"/>
      <c r="B74"/>
      <c r="C74"/>
      <c r="D74"/>
      <c r="E74"/>
      <c r="F74"/>
      <c r="G74"/>
      <c r="H74"/>
      <c r="I74"/>
    </row>
    <row r="75" spans="1:9" x14ac:dyDescent="0.2">
      <c r="A75"/>
      <c r="B75"/>
      <c r="C75"/>
      <c r="D75"/>
      <c r="E75"/>
      <c r="F75"/>
      <c r="G75"/>
      <c r="H75"/>
      <c r="I75"/>
    </row>
    <row r="76" spans="1:9" x14ac:dyDescent="0.2">
      <c r="A76"/>
      <c r="B76"/>
      <c r="C76"/>
      <c r="D76"/>
      <c r="E76"/>
      <c r="F76"/>
      <c r="G76"/>
      <c r="H76"/>
      <c r="I76"/>
    </row>
    <row r="77" spans="1:9" x14ac:dyDescent="0.2">
      <c r="A77"/>
      <c r="B77"/>
      <c r="C77"/>
      <c r="D77"/>
      <c r="E77"/>
      <c r="F77"/>
      <c r="G77"/>
      <c r="H77"/>
      <c r="I77"/>
    </row>
    <row r="78" spans="1:9" x14ac:dyDescent="0.2">
      <c r="A78"/>
      <c r="B78"/>
      <c r="C78"/>
      <c r="D78"/>
      <c r="E78"/>
      <c r="F78"/>
      <c r="G78"/>
      <c r="H78"/>
      <c r="I78"/>
    </row>
    <row r="79" spans="1:9" x14ac:dyDescent="0.2">
      <c r="A79"/>
      <c r="B79"/>
      <c r="C79"/>
      <c r="D79"/>
      <c r="E79"/>
      <c r="F79"/>
      <c r="G79"/>
      <c r="H79"/>
      <c r="I79"/>
    </row>
    <row r="80" spans="1:9" x14ac:dyDescent="0.2">
      <c r="A80"/>
      <c r="B80"/>
      <c r="C80"/>
      <c r="D80"/>
      <c r="E80"/>
      <c r="F80"/>
      <c r="G80"/>
      <c r="H80"/>
      <c r="I80"/>
    </row>
    <row r="81" spans="1:9" x14ac:dyDescent="0.2">
      <c r="A81"/>
      <c r="B81"/>
      <c r="C81"/>
      <c r="D81"/>
      <c r="E81"/>
      <c r="F81"/>
      <c r="G81"/>
      <c r="H81"/>
      <c r="I81"/>
    </row>
    <row r="82" spans="1:9" x14ac:dyDescent="0.2">
      <c r="A82"/>
      <c r="B82"/>
      <c r="C82"/>
      <c r="D82"/>
      <c r="E82"/>
      <c r="F82"/>
      <c r="G82"/>
      <c r="H82"/>
      <c r="I82"/>
    </row>
    <row r="83" spans="1:9" x14ac:dyDescent="0.2">
      <c r="A83"/>
      <c r="B83"/>
      <c r="C83"/>
      <c r="D83"/>
      <c r="E83"/>
      <c r="F83"/>
      <c r="G83"/>
      <c r="H83"/>
      <c r="I83"/>
    </row>
    <row r="84" spans="1:9" x14ac:dyDescent="0.2">
      <c r="A84"/>
      <c r="B84"/>
      <c r="C84"/>
      <c r="D84"/>
      <c r="E84"/>
      <c r="F84"/>
      <c r="G84"/>
      <c r="H84"/>
      <c r="I84"/>
    </row>
    <row r="85" spans="1:9" x14ac:dyDescent="0.2">
      <c r="A85"/>
      <c r="B85"/>
      <c r="C85"/>
      <c r="D85"/>
      <c r="E85"/>
      <c r="F85"/>
      <c r="G85"/>
      <c r="H85"/>
      <c r="I85"/>
    </row>
    <row r="86" spans="1:9" x14ac:dyDescent="0.2">
      <c r="A86"/>
      <c r="B86"/>
      <c r="C86"/>
      <c r="D86"/>
      <c r="E86"/>
      <c r="F86"/>
      <c r="G86"/>
      <c r="H86"/>
      <c r="I86"/>
    </row>
    <row r="87" spans="1:9" x14ac:dyDescent="0.2">
      <c r="A87"/>
      <c r="B87"/>
      <c r="C87"/>
      <c r="D87"/>
      <c r="E87"/>
      <c r="F87"/>
      <c r="G87"/>
      <c r="H87"/>
      <c r="I87"/>
    </row>
    <row r="88" spans="1:9" x14ac:dyDescent="0.2">
      <c r="A88"/>
      <c r="B88"/>
      <c r="C88"/>
      <c r="D88"/>
      <c r="E88"/>
      <c r="F88"/>
      <c r="G88"/>
      <c r="H88"/>
      <c r="I88"/>
    </row>
    <row r="89" spans="1:9" x14ac:dyDescent="0.2">
      <c r="A89"/>
      <c r="B89"/>
      <c r="C89"/>
      <c r="D89"/>
      <c r="E89"/>
      <c r="F89"/>
      <c r="G89"/>
      <c r="H89"/>
      <c r="I89"/>
    </row>
    <row r="90" spans="1:9" x14ac:dyDescent="0.2">
      <c r="A90"/>
      <c r="B90"/>
      <c r="C90"/>
      <c r="D90"/>
      <c r="E90"/>
      <c r="F90"/>
      <c r="G90"/>
      <c r="H90"/>
      <c r="I90"/>
    </row>
    <row r="91" spans="1:9" x14ac:dyDescent="0.2">
      <c r="A91"/>
      <c r="B91"/>
      <c r="C91"/>
      <c r="D91"/>
      <c r="E91"/>
      <c r="F91"/>
      <c r="G91"/>
      <c r="H91"/>
      <c r="I91"/>
    </row>
    <row r="92" spans="1:9" x14ac:dyDescent="0.2">
      <c r="A92"/>
      <c r="B92"/>
      <c r="C92"/>
      <c r="D92"/>
      <c r="E92"/>
      <c r="F92"/>
      <c r="G92"/>
      <c r="H92"/>
      <c r="I92"/>
    </row>
    <row r="93" spans="1:9" x14ac:dyDescent="0.2">
      <c r="A93"/>
      <c r="B93"/>
      <c r="C93"/>
      <c r="D93"/>
      <c r="E93"/>
      <c r="F93"/>
      <c r="G93"/>
      <c r="H93"/>
      <c r="I93"/>
    </row>
    <row r="94" spans="1:9" x14ac:dyDescent="0.2">
      <c r="A94"/>
      <c r="B94"/>
      <c r="C94"/>
      <c r="D94"/>
      <c r="E94"/>
      <c r="F94"/>
      <c r="G94"/>
      <c r="H94"/>
      <c r="I94"/>
    </row>
    <row r="95" spans="1:9" x14ac:dyDescent="0.2">
      <c r="A95"/>
      <c r="B95"/>
      <c r="C95"/>
      <c r="D95"/>
      <c r="E95"/>
      <c r="F95"/>
      <c r="G95"/>
      <c r="H95"/>
      <c r="I95"/>
    </row>
    <row r="96" spans="1:9" x14ac:dyDescent="0.2">
      <c r="A96"/>
      <c r="B96"/>
      <c r="C96"/>
      <c r="D96"/>
      <c r="E96"/>
      <c r="F96"/>
      <c r="G96"/>
      <c r="H96"/>
      <c r="I96"/>
    </row>
    <row r="97" spans="1:10" x14ac:dyDescent="0.2">
      <c r="A97"/>
      <c r="B97"/>
      <c r="C97"/>
      <c r="D97"/>
      <c r="E97"/>
      <c r="F97"/>
      <c r="G97"/>
      <c r="H97"/>
      <c r="I97"/>
    </row>
    <row r="98" spans="1:10" x14ac:dyDescent="0.2">
      <c r="A98"/>
      <c r="B98"/>
      <c r="C98"/>
      <c r="D98"/>
      <c r="E98"/>
      <c r="F98"/>
      <c r="G98"/>
      <c r="H98"/>
      <c r="I98"/>
    </row>
    <row r="99" spans="1:10" x14ac:dyDescent="0.2">
      <c r="A99"/>
      <c r="B99"/>
      <c r="C99"/>
      <c r="D99"/>
      <c r="E99"/>
      <c r="F99"/>
      <c r="G99"/>
      <c r="H99"/>
      <c r="I99"/>
    </row>
    <row r="100" spans="1:10" x14ac:dyDescent="0.2">
      <c r="A100"/>
      <c r="B100"/>
      <c r="C100"/>
      <c r="D100"/>
      <c r="E100"/>
      <c r="F100"/>
      <c r="G100"/>
      <c r="H100"/>
      <c r="I100"/>
    </row>
    <row r="101" spans="1:10" x14ac:dyDescent="0.2">
      <c r="A101"/>
      <c r="B101"/>
      <c r="C101"/>
      <c r="D101"/>
      <c r="E101"/>
      <c r="F101"/>
      <c r="G101"/>
      <c r="H101"/>
      <c r="I101"/>
    </row>
    <row r="102" spans="1:10" x14ac:dyDescent="0.2">
      <c r="A102"/>
      <c r="B102"/>
      <c r="C102"/>
      <c r="D102"/>
      <c r="E102"/>
      <c r="F102"/>
      <c r="G102"/>
      <c r="H102"/>
      <c r="I102"/>
    </row>
    <row r="103" spans="1:10" x14ac:dyDescent="0.2">
      <c r="A103"/>
      <c r="B103"/>
      <c r="C103"/>
      <c r="D103"/>
      <c r="E103"/>
      <c r="F103"/>
      <c r="G103"/>
      <c r="H103"/>
      <c r="I103"/>
    </row>
    <row r="104" spans="1:10" x14ac:dyDescent="0.2">
      <c r="A104"/>
      <c r="B104"/>
      <c r="C104"/>
      <c r="D104"/>
      <c r="E104"/>
      <c r="F104"/>
      <c r="G104"/>
      <c r="H104"/>
      <c r="I104"/>
    </row>
    <row r="105" spans="1:10" x14ac:dyDescent="0.2">
      <c r="A105"/>
      <c r="B105"/>
      <c r="C105"/>
      <c r="D105"/>
      <c r="E105"/>
      <c r="F105"/>
      <c r="G105"/>
      <c r="H105"/>
      <c r="I105"/>
      <c r="J105" s="186"/>
    </row>
    <row r="106" spans="1:10" x14ac:dyDescent="0.2">
      <c r="A106"/>
      <c r="B106"/>
      <c r="C106"/>
      <c r="D106"/>
      <c r="E106"/>
      <c r="F106"/>
      <c r="G106"/>
      <c r="H106"/>
      <c r="I106"/>
    </row>
    <row r="107" spans="1:10" x14ac:dyDescent="0.2">
      <c r="A107"/>
      <c r="B107"/>
      <c r="C107"/>
      <c r="D107"/>
      <c r="E107"/>
      <c r="F107"/>
      <c r="G107"/>
      <c r="H107"/>
      <c r="I107"/>
    </row>
    <row r="108" spans="1:10" x14ac:dyDescent="0.2">
      <c r="A108"/>
      <c r="B108"/>
      <c r="C108"/>
      <c r="D108"/>
      <c r="E108"/>
      <c r="F108"/>
      <c r="G108"/>
      <c r="H108"/>
      <c r="I108"/>
    </row>
    <row r="109" spans="1:10" x14ac:dyDescent="0.2">
      <c r="A109"/>
      <c r="B109"/>
      <c r="C109"/>
      <c r="D109"/>
      <c r="E109"/>
      <c r="F109"/>
      <c r="G109"/>
      <c r="H109"/>
      <c r="I109"/>
    </row>
    <row r="110" spans="1:10" x14ac:dyDescent="0.2">
      <c r="A110"/>
      <c r="B110"/>
      <c r="C110"/>
      <c r="D110"/>
      <c r="E110"/>
      <c r="F110"/>
      <c r="G110"/>
      <c r="H110"/>
      <c r="I110"/>
    </row>
    <row r="111" spans="1:10" x14ac:dyDescent="0.2">
      <c r="A111"/>
      <c r="B111"/>
      <c r="C111"/>
      <c r="D111"/>
      <c r="E111"/>
      <c r="F111"/>
      <c r="G111"/>
      <c r="H111"/>
      <c r="I111"/>
    </row>
    <row r="112" spans="1:10" x14ac:dyDescent="0.2">
      <c r="A112"/>
      <c r="B112"/>
      <c r="C112"/>
      <c r="D112"/>
      <c r="E112"/>
      <c r="F112"/>
      <c r="G112"/>
      <c r="H112"/>
      <c r="I112"/>
    </row>
    <row r="113" spans="1:9" x14ac:dyDescent="0.2">
      <c r="A113"/>
      <c r="B113"/>
      <c r="C113"/>
      <c r="D113"/>
      <c r="E113"/>
      <c r="F113"/>
      <c r="G113"/>
      <c r="H113"/>
      <c r="I113"/>
    </row>
    <row r="114" spans="1:9" x14ac:dyDescent="0.2">
      <c r="A114"/>
      <c r="B114"/>
      <c r="C114"/>
      <c r="D114"/>
      <c r="E114"/>
      <c r="F114"/>
      <c r="G114"/>
      <c r="H114"/>
      <c r="I114"/>
    </row>
    <row r="115" spans="1:9" x14ac:dyDescent="0.2">
      <c r="A115"/>
      <c r="B115"/>
      <c r="C115"/>
      <c r="D115"/>
      <c r="E115"/>
      <c r="F115"/>
      <c r="G115"/>
      <c r="H115"/>
      <c r="I115"/>
    </row>
    <row r="116" spans="1:9" x14ac:dyDescent="0.2">
      <c r="A116"/>
      <c r="B116"/>
      <c r="C116"/>
      <c r="D116"/>
      <c r="E116"/>
      <c r="F116"/>
      <c r="G116"/>
      <c r="H116"/>
      <c r="I116"/>
    </row>
    <row r="117" spans="1:9" x14ac:dyDescent="0.2">
      <c r="A117"/>
      <c r="B117"/>
      <c r="C117"/>
      <c r="D117"/>
      <c r="E117"/>
      <c r="F117"/>
      <c r="G117"/>
      <c r="H117"/>
      <c r="I117"/>
    </row>
    <row r="118" spans="1:9" x14ac:dyDescent="0.2">
      <c r="A118"/>
      <c r="B118"/>
      <c r="C118"/>
      <c r="D118"/>
      <c r="E118"/>
      <c r="F118"/>
      <c r="G118"/>
      <c r="H118"/>
      <c r="I118"/>
    </row>
    <row r="119" spans="1:9" x14ac:dyDescent="0.2">
      <c r="A119"/>
      <c r="B119"/>
      <c r="C119"/>
      <c r="D119"/>
      <c r="E119"/>
      <c r="F119"/>
      <c r="G119"/>
      <c r="H119"/>
      <c r="I119"/>
    </row>
    <row r="120" spans="1:9" x14ac:dyDescent="0.2">
      <c r="A120"/>
      <c r="B120"/>
      <c r="C120"/>
      <c r="D120"/>
      <c r="E120"/>
      <c r="F120"/>
      <c r="G120"/>
      <c r="H120"/>
      <c r="I120"/>
    </row>
    <row r="121" spans="1:9" x14ac:dyDescent="0.2">
      <c r="A121"/>
      <c r="B121"/>
      <c r="C121"/>
      <c r="D121"/>
      <c r="E121"/>
      <c r="F121"/>
      <c r="G121"/>
      <c r="H121"/>
      <c r="I121"/>
    </row>
    <row r="122" spans="1:9" x14ac:dyDescent="0.2">
      <c r="A122"/>
      <c r="B122"/>
      <c r="C122"/>
      <c r="D122"/>
      <c r="E122"/>
      <c r="F122"/>
      <c r="G122"/>
      <c r="H122"/>
      <c r="I122"/>
    </row>
    <row r="123" spans="1:9" x14ac:dyDescent="0.2">
      <c r="A123"/>
      <c r="B123"/>
      <c r="C123"/>
      <c r="D123"/>
      <c r="E123"/>
      <c r="F123"/>
      <c r="G123"/>
      <c r="H123"/>
      <c r="I123"/>
    </row>
    <row r="124" spans="1:9" x14ac:dyDescent="0.2">
      <c r="A124"/>
      <c r="B124"/>
      <c r="C124"/>
      <c r="D124"/>
      <c r="E124"/>
      <c r="F124"/>
      <c r="G124"/>
      <c r="H124"/>
      <c r="I124"/>
    </row>
    <row r="125" spans="1:9" x14ac:dyDescent="0.2">
      <c r="A125"/>
      <c r="B125"/>
      <c r="C125"/>
      <c r="D125"/>
      <c r="E125"/>
      <c r="F125"/>
      <c r="G125"/>
      <c r="H125"/>
      <c r="I125"/>
    </row>
    <row r="126" spans="1:9" x14ac:dyDescent="0.2">
      <c r="A126"/>
      <c r="B126"/>
      <c r="C126"/>
      <c r="D126"/>
      <c r="E126"/>
      <c r="F126"/>
      <c r="G126"/>
      <c r="H126"/>
      <c r="I126"/>
    </row>
    <row r="127" spans="1:9" x14ac:dyDescent="0.2">
      <c r="A127"/>
      <c r="B127"/>
      <c r="C127"/>
      <c r="D127"/>
      <c r="E127"/>
      <c r="F127"/>
      <c r="G127"/>
      <c r="H127"/>
      <c r="I127"/>
    </row>
    <row r="128" spans="1:9" x14ac:dyDescent="0.2">
      <c r="A128"/>
      <c r="B128"/>
      <c r="C128"/>
      <c r="D128"/>
      <c r="E128"/>
      <c r="F128"/>
      <c r="G128"/>
      <c r="H128"/>
      <c r="I128"/>
    </row>
    <row r="129" spans="1:9" x14ac:dyDescent="0.2">
      <c r="A129"/>
      <c r="B129"/>
      <c r="C129"/>
      <c r="D129"/>
      <c r="E129"/>
      <c r="F129"/>
      <c r="G129"/>
      <c r="H129"/>
      <c r="I129"/>
    </row>
    <row r="130" spans="1:9" x14ac:dyDescent="0.2">
      <c r="A130"/>
      <c r="B130"/>
      <c r="C130"/>
      <c r="D130"/>
      <c r="E130"/>
      <c r="F130"/>
      <c r="G130"/>
      <c r="H130"/>
      <c r="I130"/>
    </row>
    <row r="131" spans="1:9" x14ac:dyDescent="0.2">
      <c r="A131"/>
      <c r="B131"/>
      <c r="C131"/>
      <c r="D131"/>
      <c r="E131"/>
      <c r="F131"/>
      <c r="G131"/>
      <c r="H131"/>
      <c r="I131"/>
    </row>
    <row r="132" spans="1:9" x14ac:dyDescent="0.2">
      <c r="A132"/>
      <c r="B132"/>
      <c r="C132"/>
      <c r="D132"/>
      <c r="E132"/>
      <c r="F132"/>
      <c r="G132"/>
      <c r="H132"/>
      <c r="I132"/>
    </row>
    <row r="133" spans="1:9" x14ac:dyDescent="0.2">
      <c r="A133"/>
      <c r="B133"/>
      <c r="C133"/>
      <c r="D133"/>
      <c r="E133"/>
      <c r="F133"/>
      <c r="G133"/>
      <c r="H133"/>
      <c r="I133"/>
    </row>
    <row r="134" spans="1:9" x14ac:dyDescent="0.2">
      <c r="A134"/>
      <c r="B134"/>
      <c r="C134"/>
      <c r="D134"/>
      <c r="E134"/>
      <c r="F134"/>
      <c r="G134"/>
      <c r="H134"/>
      <c r="I134"/>
    </row>
    <row r="135" spans="1:9" x14ac:dyDescent="0.2">
      <c r="A135"/>
      <c r="B135"/>
      <c r="C135"/>
      <c r="D135"/>
      <c r="E135"/>
      <c r="F135"/>
      <c r="G135"/>
      <c r="H135"/>
      <c r="I135"/>
    </row>
    <row r="136" spans="1:9" x14ac:dyDescent="0.2">
      <c r="A136"/>
      <c r="B136"/>
      <c r="C136"/>
      <c r="D136"/>
      <c r="E136"/>
      <c r="F136"/>
      <c r="G136"/>
      <c r="H136"/>
      <c r="I136"/>
    </row>
    <row r="137" spans="1:9" x14ac:dyDescent="0.2">
      <c r="A137"/>
      <c r="B137"/>
      <c r="C137"/>
      <c r="D137"/>
      <c r="E137"/>
      <c r="F137"/>
      <c r="G137"/>
      <c r="H137"/>
      <c r="I137"/>
    </row>
    <row r="138" spans="1:9" x14ac:dyDescent="0.2">
      <c r="A138"/>
      <c r="B138"/>
      <c r="C138"/>
      <c r="D138"/>
      <c r="E138"/>
      <c r="F138"/>
      <c r="G138"/>
      <c r="H138"/>
      <c r="I138"/>
    </row>
    <row r="139" spans="1:9" x14ac:dyDescent="0.2">
      <c r="A139"/>
      <c r="B139"/>
      <c r="C139"/>
      <c r="D139"/>
      <c r="E139"/>
      <c r="F139"/>
      <c r="G139"/>
      <c r="H139"/>
      <c r="I139"/>
    </row>
    <row r="140" spans="1:9" x14ac:dyDescent="0.2">
      <c r="A140"/>
      <c r="B140"/>
      <c r="C140"/>
      <c r="D140"/>
      <c r="E140"/>
      <c r="F140"/>
      <c r="G140"/>
      <c r="H140"/>
      <c r="I140"/>
    </row>
    <row r="141" spans="1:9" x14ac:dyDescent="0.2">
      <c r="A141"/>
      <c r="B141"/>
      <c r="C141"/>
      <c r="D141"/>
      <c r="E141"/>
      <c r="F141"/>
      <c r="G141"/>
      <c r="H141"/>
      <c r="I141"/>
    </row>
    <row r="142" spans="1:9" x14ac:dyDescent="0.2">
      <c r="A142"/>
      <c r="B142"/>
      <c r="C142"/>
      <c r="D142"/>
      <c r="E142"/>
      <c r="F142"/>
      <c r="G142"/>
      <c r="H142"/>
      <c r="I142"/>
    </row>
    <row r="143" spans="1:9" x14ac:dyDescent="0.2">
      <c r="A143"/>
      <c r="B143"/>
      <c r="C143"/>
      <c r="D143"/>
      <c r="E143"/>
      <c r="F143"/>
      <c r="G143"/>
      <c r="H143"/>
      <c r="I143"/>
    </row>
    <row r="144" spans="1:9" x14ac:dyDescent="0.2">
      <c r="A144"/>
      <c r="B144"/>
      <c r="C144"/>
      <c r="D144"/>
      <c r="E144"/>
      <c r="F144"/>
      <c r="G144"/>
      <c r="H144"/>
      <c r="I144"/>
    </row>
    <row r="145" spans="1:10" x14ac:dyDescent="0.2">
      <c r="A145"/>
      <c r="B145"/>
      <c r="C145"/>
      <c r="D145"/>
      <c r="E145"/>
      <c r="F145"/>
      <c r="G145"/>
      <c r="H145"/>
      <c r="I145"/>
    </row>
    <row r="146" spans="1:10" x14ac:dyDescent="0.2">
      <c r="A146"/>
      <c r="B146"/>
      <c r="C146"/>
      <c r="D146"/>
      <c r="E146"/>
      <c r="F146"/>
      <c r="G146"/>
      <c r="H146"/>
      <c r="I146"/>
    </row>
    <row r="147" spans="1:10" x14ac:dyDescent="0.2">
      <c r="A147"/>
      <c r="B147"/>
      <c r="C147"/>
      <c r="D147"/>
      <c r="E147"/>
      <c r="F147"/>
      <c r="G147"/>
      <c r="H147"/>
      <c r="I147"/>
    </row>
    <row r="148" spans="1:10" x14ac:dyDescent="0.2">
      <c r="A148"/>
      <c r="B148"/>
      <c r="C148"/>
      <c r="D148"/>
      <c r="E148"/>
      <c r="F148"/>
      <c r="G148"/>
      <c r="H148"/>
      <c r="I148"/>
    </row>
    <row r="149" spans="1:10" x14ac:dyDescent="0.2">
      <c r="A149"/>
      <c r="B149"/>
      <c r="C149"/>
      <c r="D149"/>
      <c r="E149"/>
      <c r="F149"/>
      <c r="G149"/>
      <c r="H149"/>
      <c r="I149"/>
    </row>
    <row r="150" spans="1:10" x14ac:dyDescent="0.2">
      <c r="A150"/>
      <c r="B150"/>
      <c r="C150"/>
      <c r="D150"/>
      <c r="E150"/>
      <c r="F150"/>
      <c r="G150"/>
      <c r="H150"/>
      <c r="I150"/>
    </row>
    <row r="151" spans="1:10" x14ac:dyDescent="0.2">
      <c r="A151"/>
      <c r="B151"/>
      <c r="C151"/>
      <c r="D151"/>
      <c r="E151"/>
      <c r="F151"/>
      <c r="G151"/>
      <c r="H151"/>
      <c r="I151"/>
    </row>
    <row r="152" spans="1:10" x14ac:dyDescent="0.2">
      <c r="A152"/>
      <c r="B152"/>
      <c r="C152"/>
      <c r="D152"/>
      <c r="E152"/>
      <c r="F152"/>
      <c r="G152"/>
      <c r="H152"/>
      <c r="I152"/>
    </row>
    <row r="153" spans="1:10" x14ac:dyDescent="0.2">
      <c r="A153"/>
      <c r="B153"/>
      <c r="C153"/>
      <c r="D153"/>
      <c r="E153"/>
      <c r="F153"/>
      <c r="G153"/>
      <c r="H153"/>
      <c r="I153"/>
    </row>
    <row r="154" spans="1:10" x14ac:dyDescent="0.2">
      <c r="A154"/>
      <c r="B154"/>
      <c r="C154"/>
      <c r="D154"/>
      <c r="E154"/>
      <c r="F154"/>
      <c r="G154"/>
      <c r="H154"/>
      <c r="I154"/>
    </row>
    <row r="155" spans="1:10" x14ac:dyDescent="0.2">
      <c r="A155"/>
      <c r="B155"/>
      <c r="C155"/>
      <c r="D155"/>
      <c r="E155"/>
      <c r="F155"/>
      <c r="G155"/>
      <c r="H155"/>
      <c r="I155"/>
    </row>
    <row r="156" spans="1:10" x14ac:dyDescent="0.2">
      <c r="A156"/>
      <c r="B156"/>
      <c r="C156"/>
      <c r="D156"/>
      <c r="E156"/>
      <c r="F156"/>
      <c r="G156"/>
      <c r="H156"/>
      <c r="I156"/>
    </row>
    <row r="157" spans="1:10" x14ac:dyDescent="0.2">
      <c r="A157"/>
      <c r="B157"/>
      <c r="C157"/>
      <c r="D157"/>
      <c r="E157"/>
      <c r="F157"/>
      <c r="G157"/>
      <c r="H157"/>
      <c r="I157"/>
      <c r="J157" s="186"/>
    </row>
  </sheetData>
  <sheetProtection sheet="1" objects="1" scenarios="1" selectLockedCells="1"/>
  <mergeCells count="2">
    <mergeCell ref="F2:I2"/>
    <mergeCell ref="H4:I4"/>
  </mergeCells>
  <printOptions horizontalCentered="1"/>
  <pageMargins left="0.19685039370078741" right="0.19685039370078741" top="0.39370078740157483" bottom="0.39370078740157483" header="0.11811023622047245" footer="0.11811023622047245"/>
  <pageSetup scale="90" fitToHeight="2" orientation="portrait" r:id="rId1"/>
  <headerFooter alignWithMargins="0"/>
  <rowBreaks count="1" manualBreakCount="1">
    <brk id="10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4"/>
  <sheetViews>
    <sheetView showGridLines="0" showRowColHeaders="0" showZeros="0" zoomScale="90" zoomScaleNormal="90" workbookViewId="0">
      <pane xSplit="3" ySplit="6" topLeftCell="D7" activePane="bottomRight" state="frozen"/>
      <selection activeCell="Q26" sqref="Q26"/>
      <selection pane="topRight" activeCell="Q26" sqref="Q26"/>
      <selection pane="bottomLeft" activeCell="Q26" sqref="Q26"/>
      <selection pane="bottomRight" activeCell="G6" sqref="G6"/>
    </sheetView>
  </sheetViews>
  <sheetFormatPr baseColWidth="10" defaultColWidth="10.85546875" defaultRowHeight="12.75" x14ac:dyDescent="0.2"/>
  <cols>
    <col min="1" max="2" width="2.140625" style="153" customWidth="1"/>
    <col min="3" max="3" width="13.7109375" style="153" customWidth="1"/>
    <col min="4" max="4" width="6.85546875" style="153" customWidth="1"/>
    <col min="5" max="5" width="9.28515625" style="153" customWidth="1"/>
    <col min="6" max="6" width="6.85546875" style="153" customWidth="1"/>
    <col min="7" max="7" width="9.28515625" style="153" customWidth="1"/>
    <col min="8" max="8" width="6.85546875" style="153" customWidth="1"/>
    <col min="9" max="9" width="13.7109375" style="153" customWidth="1"/>
    <col min="10" max="10" width="11.28515625" style="153" customWidth="1"/>
    <col min="11" max="11" width="10" style="153" bestFit="1" customWidth="1"/>
    <col min="12" max="12" width="9.28515625" style="153" customWidth="1"/>
    <col min="13" max="13" width="10" style="153" bestFit="1" customWidth="1"/>
    <col min="14" max="14" width="9.28515625" style="153" customWidth="1"/>
    <col min="15" max="15" width="10" style="153" bestFit="1" customWidth="1"/>
    <col min="16" max="16" width="9.28515625" style="153" customWidth="1"/>
    <col min="17" max="17" width="2.85546875" style="153" customWidth="1"/>
    <col min="18" max="18" width="13.28515625" style="153" bestFit="1" customWidth="1"/>
    <col min="19" max="16384" width="10.85546875" style="153"/>
  </cols>
  <sheetData>
    <row r="1" spans="1:17" ht="144" customHeight="1" x14ac:dyDescent="0.2">
      <c r="A1"/>
      <c r="B1"/>
      <c r="C1"/>
      <c r="D1">
        <v>2</v>
      </c>
      <c r="E1"/>
      <c r="F1">
        <v>3</v>
      </c>
      <c r="G1"/>
      <c r="H1">
        <v>4</v>
      </c>
      <c r="I1"/>
      <c r="J1"/>
      <c r="K1">
        <v>5</v>
      </c>
      <c r="L1"/>
      <c r="M1">
        <v>6</v>
      </c>
      <c r="N1"/>
      <c r="O1">
        <v>7</v>
      </c>
      <c r="P1"/>
      <c r="Q1"/>
    </row>
    <row r="2" spans="1:17" ht="15.75" x14ac:dyDescent="0.25">
      <c r="A2"/>
      <c r="B2"/>
      <c r="C2" s="237" t="s">
        <v>0</v>
      </c>
      <c r="D2"/>
      <c r="E2"/>
      <c r="F2" s="382" t="str">
        <f>"Remplacer les prix fictifs des cases vert foncé par vos prix moyens de "&amp;C6</f>
        <v>Remplacer les prix fictifs des cases vert foncé par vos prix moyens de 2023</v>
      </c>
      <c r="G2" s="382"/>
      <c r="H2" s="382"/>
      <c r="I2" s="382"/>
      <c r="J2" s="382"/>
      <c r="K2" s="382"/>
      <c r="L2" s="382"/>
      <c r="M2" s="382"/>
      <c r="N2" s="382"/>
      <c r="O2" s="382"/>
      <c r="P2"/>
      <c r="Q2"/>
    </row>
    <row r="3" spans="1:17" ht="13.5" thickBot="1" x14ac:dyDescent="0.25">
      <c r="A3"/>
      <c r="B3"/>
      <c r="C3"/>
      <c r="D3"/>
      <c r="E3"/>
      <c r="F3"/>
      <c r="G3"/>
      <c r="H3"/>
      <c r="I3"/>
      <c r="J3"/>
      <c r="K3"/>
      <c r="L3"/>
      <c r="M3"/>
      <c r="N3"/>
      <c r="O3"/>
      <c r="P3"/>
      <c r="Q3"/>
    </row>
    <row r="4" spans="1:17" x14ac:dyDescent="0.2">
      <c r="A4"/>
      <c r="B4"/>
      <c r="C4" s="238" t="s">
        <v>36</v>
      </c>
      <c r="D4" s="391" t="s">
        <v>1</v>
      </c>
      <c r="E4" s="391"/>
      <c r="F4" s="391" t="s">
        <v>2</v>
      </c>
      <c r="G4" s="391"/>
      <c r="H4" s="396" t="s">
        <v>3</v>
      </c>
      <c r="I4" s="397"/>
      <c r="J4" s="391" t="s">
        <v>10</v>
      </c>
      <c r="K4" s="391"/>
      <c r="L4" s="391" t="s">
        <v>11</v>
      </c>
      <c r="M4" s="391"/>
      <c r="N4" s="391" t="s">
        <v>12</v>
      </c>
      <c r="O4" s="392"/>
      <c r="P4"/>
      <c r="Q4" s="239"/>
    </row>
    <row r="5" spans="1:17" ht="13.5" thickBot="1" x14ac:dyDescent="0.25">
      <c r="A5"/>
      <c r="B5"/>
      <c r="C5" s="240" t="s">
        <v>80</v>
      </c>
      <c r="D5" s="241" t="s">
        <v>4</v>
      </c>
      <c r="E5" s="242" t="s">
        <v>5</v>
      </c>
      <c r="F5" s="241" t="s">
        <v>4</v>
      </c>
      <c r="G5" s="242" t="s">
        <v>5</v>
      </c>
      <c r="H5" s="241" t="s">
        <v>4</v>
      </c>
      <c r="I5" s="341" t="s">
        <v>5</v>
      </c>
      <c r="J5" s="241" t="s">
        <v>4</v>
      </c>
      <c r="K5" s="242" t="s">
        <v>5</v>
      </c>
      <c r="L5" s="241" t="s">
        <v>4</v>
      </c>
      <c r="M5" s="242" t="s">
        <v>5</v>
      </c>
      <c r="N5" s="241" t="s">
        <v>4</v>
      </c>
      <c r="O5" s="243" t="s">
        <v>5</v>
      </c>
      <c r="P5"/>
      <c r="Q5" s="239"/>
    </row>
    <row r="6" spans="1:17" ht="15" customHeight="1" thickBot="1" x14ac:dyDescent="0.25">
      <c r="A6"/>
      <c r="B6"/>
      <c r="C6" s="244">
        <f>Saisie!C4</f>
        <v>2023</v>
      </c>
      <c r="D6" s="231">
        <f>VLOOKUP($C6,Saisie!$C$4:$J$44,D$1,FALSE)/VLOOKUP($C$6,Saisie!$C$4:$J$44,D$1,FALSE)*100</f>
        <v>100</v>
      </c>
      <c r="E6" s="355">
        <v>10</v>
      </c>
      <c r="F6" s="231">
        <f>VLOOKUP($C6,Saisie!$C$4:$J$44,F$1,FALSE)/VLOOKUP($C$6,Saisie!$C$4:$J$44,F$1,FALSE)*100</f>
        <v>100</v>
      </c>
      <c r="G6" s="355">
        <v>10</v>
      </c>
      <c r="H6" s="231">
        <v>100</v>
      </c>
      <c r="I6" s="356">
        <f>Saisie!O11/100</f>
        <v>1.8744777868529487</v>
      </c>
      <c r="J6" s="231">
        <v>100</v>
      </c>
      <c r="K6" s="355">
        <v>10</v>
      </c>
      <c r="L6" s="231">
        <v>100</v>
      </c>
      <c r="M6" s="355">
        <v>10</v>
      </c>
      <c r="N6" s="232">
        <v>100</v>
      </c>
      <c r="O6" s="355">
        <v>10</v>
      </c>
      <c r="P6"/>
      <c r="Q6" s="239"/>
    </row>
    <row r="7" spans="1:17" ht="15.75" customHeight="1" thickBot="1" x14ac:dyDescent="0.25">
      <c r="A7"/>
      <c r="B7"/>
      <c r="C7"/>
      <c r="D7"/>
      <c r="E7"/>
      <c r="F7"/>
      <c r="G7"/>
      <c r="H7"/>
      <c r="I7"/>
      <c r="J7"/>
      <c r="K7"/>
      <c r="L7"/>
      <c r="M7"/>
      <c r="N7"/>
      <c r="O7"/>
      <c r="P7"/>
      <c r="Q7" s="239"/>
    </row>
    <row r="8" spans="1:17" ht="27" customHeight="1" thickBot="1" x14ac:dyDescent="0.25">
      <c r="A8"/>
      <c r="B8"/>
      <c r="C8" s="138" t="s">
        <v>79</v>
      </c>
      <c r="D8" s="245"/>
      <c r="E8" s="222" t="s">
        <v>6</v>
      </c>
      <c r="F8" s="246"/>
      <c r="G8" s="222" t="s">
        <v>6</v>
      </c>
      <c r="H8" s="246"/>
      <c r="I8" s="342" t="s">
        <v>118</v>
      </c>
      <c r="J8" s="246"/>
      <c r="K8" s="222" t="s">
        <v>6</v>
      </c>
      <c r="L8" s="246"/>
      <c r="M8" s="222" t="s">
        <v>6</v>
      </c>
      <c r="N8" s="246"/>
      <c r="O8" s="223" t="s">
        <v>6</v>
      </c>
      <c r="P8"/>
      <c r="Q8" s="239"/>
    </row>
    <row r="9" spans="1:17" ht="13.5" thickTop="1" x14ac:dyDescent="0.2">
      <c r="A9"/>
      <c r="B9"/>
      <c r="C9" s="247">
        <f>DATE(C6+1,1,1)</f>
        <v>45292</v>
      </c>
      <c r="D9" s="248">
        <f>VLOOKUP($C9,Saisie!$C$4:$J$44,D$1,FALSE)/VLOOKUP($C$6,Saisie!$C$4:$J$44,D$1,FALSE)*100</f>
        <v>84.774771494118937</v>
      </c>
      <c r="E9" s="249">
        <f t="shared" ref="E9:E27" si="0">$E$6*D9/$D$6</f>
        <v>8.477477149411893</v>
      </c>
      <c r="F9" s="248">
        <f>VLOOKUP($C9,Saisie!$C$4:$J$44,F$1,FALSE)/VLOOKUP($C$6,Saisie!$C$4:$J$44,F$1,FALSE)*100</f>
        <v>92.277033759478485</v>
      </c>
      <c r="G9" s="249">
        <f>$G$6*F9/$F$6</f>
        <v>9.2277033759478488</v>
      </c>
      <c r="H9" s="248">
        <f>VLOOKUP($C9,Saisie!$C$4:$J$44,H$1,FALSE)/VLOOKUP($C$6,Saisie!$C$4:$J$44,H$1,FALSE)*100</f>
        <v>95.036389778036835</v>
      </c>
      <c r="I9" s="360">
        <v>1.778935991633638</v>
      </c>
      <c r="J9" s="248">
        <f>VLOOKUP($C9,Saisie!$C$4:$J$44,K$1,FALSE)/VLOOKUP($C$6,Saisie!$C$4:$J$44,K$1,FALSE)*100</f>
        <v>90.240553045010884</v>
      </c>
      <c r="K9" s="249">
        <f t="shared" ref="K9:K27" si="1">$K$6*J9/$J$6</f>
        <v>9.0240553045010881</v>
      </c>
      <c r="L9" s="248">
        <f>VLOOKUP($C9,Saisie!$C$4:$J$44,M$1,FALSE)/VLOOKUP($C$6,Saisie!$C$4:$J$44,M$1,FALSE)*100</f>
        <v>92.542008734788411</v>
      </c>
      <c r="M9" s="249">
        <f t="shared" ref="M9:M27" si="2">$M$6*L9/$L$6</f>
        <v>9.2542008734788404</v>
      </c>
      <c r="N9" s="248">
        <f>VLOOKUP($C9,Saisie!$C$4:$J$44,O$1,FALSE)/VLOOKUP($C$6,Saisie!$C$4:$J$44,O$1,FALSE)*100</f>
        <v>90.697038823203926</v>
      </c>
      <c r="O9" s="250">
        <f t="shared" ref="O9:O27" si="3">$O$6*N9/$N$6</f>
        <v>9.0697038823203915</v>
      </c>
      <c r="P9"/>
      <c r="Q9" s="239"/>
    </row>
    <row r="10" spans="1:17" x14ac:dyDescent="0.2">
      <c r="A10"/>
      <c r="B10"/>
      <c r="C10" s="247">
        <f t="shared" ref="C10:C20" si="4">DATE(YEAR(C9),MONTH(C9)+1,1)</f>
        <v>45323</v>
      </c>
      <c r="D10" s="248">
        <f>VLOOKUP($C10,Saisie!$C$4:$J$44,D$1,FALSE)/VLOOKUP($C$6,Saisie!$C$4:$J$44,D$1,FALSE)*100</f>
        <v>77.928698882050909</v>
      </c>
      <c r="E10" s="249">
        <f t="shared" si="0"/>
        <v>7.7928698882050913</v>
      </c>
      <c r="F10" s="248">
        <f>VLOOKUP($C10,Saisie!$C$4:$J$44,F$1,FALSE)/VLOOKUP($C$6,Saisie!$C$4:$J$44,F$1,FALSE)*100</f>
        <v>84.981338557411377</v>
      </c>
      <c r="G10" s="249">
        <f>$G$6*F10/$F$6</f>
        <v>8.4981338557411377</v>
      </c>
      <c r="H10" s="248">
        <f>VLOOKUP($C10,Saisie!$C$4:$J$44,H$1,FALSE)/VLOOKUP($C$6,Saisie!$C$4:$J$44,H$1,FALSE)*100</f>
        <v>97.930224429722813</v>
      </c>
      <c r="I10" s="360">
        <v>1.8331041542473918</v>
      </c>
      <c r="J10" s="248">
        <f>VLOOKUP($C10,Saisie!$C$4:$J$44,K$1,FALSE)/VLOOKUP($C$6,Saisie!$C$4:$J$44,K$1,FALSE)*100</f>
        <v>85.616172973303534</v>
      </c>
      <c r="K10" s="249">
        <f t="shared" si="1"/>
        <v>8.5616172973303541</v>
      </c>
      <c r="L10" s="248">
        <f>VLOOKUP($C10,Saisie!$C$4:$J$44,M$1,FALSE)/VLOOKUP($C$6,Saisie!$C$4:$J$44,M$1,FALSE)*100</f>
        <v>87.829399047642127</v>
      </c>
      <c r="M10" s="249">
        <f t="shared" si="2"/>
        <v>8.7829399047642127</v>
      </c>
      <c r="N10" s="248">
        <f>VLOOKUP($C10,Saisie!$C$4:$J$44,O$1,FALSE)/VLOOKUP($C$6,Saisie!$C$4:$J$44,O$1,FALSE)*100</f>
        <v>85.535621410015906</v>
      </c>
      <c r="O10" s="250">
        <f t="shared" si="3"/>
        <v>8.5535621410015903</v>
      </c>
      <c r="P10"/>
      <c r="Q10" s="239"/>
    </row>
    <row r="11" spans="1:17" x14ac:dyDescent="0.2">
      <c r="A11"/>
      <c r="B11"/>
      <c r="C11" s="247">
        <f t="shared" si="4"/>
        <v>45352</v>
      </c>
      <c r="D11" s="248">
        <f>VLOOKUP($C11,Saisie!$C$4:$J$44,D$1,FALSE)/VLOOKUP($C$6,Saisie!$C$4:$J$44,D$1,FALSE)*100</f>
        <v>75.015476493936859</v>
      </c>
      <c r="E11" s="249">
        <f t="shared" si="0"/>
        <v>7.501547649393685</v>
      </c>
      <c r="F11" s="248">
        <f>VLOOKUP($C11,Saisie!$C$4:$J$44,F$1,FALSE)/VLOOKUP($C$6,Saisie!$C$4:$J$44,F$1,FALSE)*100</f>
        <v>81.468596423082758</v>
      </c>
      <c r="G11" s="249">
        <f>$G$6*F11/$F$6</f>
        <v>8.1468596423082769</v>
      </c>
      <c r="H11" s="248">
        <f>VLOOKUP($C11,Saisie!$C$4:$J$44,H$1,FALSE)/VLOOKUP($C$6,Saisie!$C$4:$J$44,H$1,FALSE)*100</f>
        <v>102.64966644661327</v>
      </c>
      <c r="I11" s="360">
        <v>1.9214448970290028</v>
      </c>
      <c r="J11" s="248">
        <f>VLOOKUP($C11,Saisie!$C$4:$J$44,K$1,FALSE)/VLOOKUP($C$6,Saisie!$C$4:$J$44,K$1,FALSE)*100</f>
        <v>83.623152178588796</v>
      </c>
      <c r="K11" s="249">
        <f t="shared" si="1"/>
        <v>8.36231521785888</v>
      </c>
      <c r="L11" s="248">
        <f>VLOOKUP($C11,Saisie!$C$4:$J$44,M$1,FALSE)/VLOOKUP($C$6,Saisie!$C$4:$J$44,M$1,FALSE)*100</f>
        <v>85.678920280086771</v>
      </c>
      <c r="M11" s="249">
        <f t="shared" si="2"/>
        <v>8.5678920280086786</v>
      </c>
      <c r="N11" s="248">
        <f>VLOOKUP($C11,Saisie!$C$4:$J$44,O$1,FALSE)/VLOOKUP($C$6,Saisie!$C$4:$J$44,O$1,FALSE)*100</f>
        <v>83.234817972150282</v>
      </c>
      <c r="O11" s="250">
        <f t="shared" si="3"/>
        <v>8.3234817972150275</v>
      </c>
      <c r="P11"/>
      <c r="Q11" s="239"/>
    </row>
    <row r="12" spans="1:17" x14ac:dyDescent="0.2">
      <c r="A12"/>
      <c r="B12"/>
      <c r="C12" s="247">
        <f t="shared" si="4"/>
        <v>45383</v>
      </c>
      <c r="D12" s="248">
        <f>VLOOKUP($C12,Saisie!$C$4:$J$44,D$1,FALSE)/VLOOKUP($C$6,Saisie!$C$4:$J$44,D$1,FALSE)*100</f>
        <v>76.544918247696742</v>
      </c>
      <c r="E12" s="249">
        <f t="shared" si="0"/>
        <v>7.654491824769674</v>
      </c>
      <c r="F12" s="248">
        <f>VLOOKUP($C12,Saisie!$C$4:$J$44,F$1,FALSE)/VLOOKUP($C$6,Saisie!$C$4:$J$44,F$1,FALSE)*100</f>
        <v>79.81355445594717</v>
      </c>
      <c r="G12" s="249">
        <f t="shared" ref="G12:G27" si="5">$G$6*F12/$F$6</f>
        <v>7.9813554455947164</v>
      </c>
      <c r="H12" s="248">
        <f>VLOOKUP($C12,Saisie!$C$4:$J$44,H$1,FALSE)/VLOOKUP($C$6,Saisie!$C$4:$J$44,H$1,FALSE)*100</f>
        <v>110.37120620610563</v>
      </c>
      <c r="I12" s="360">
        <v>2.0659803220495938</v>
      </c>
      <c r="J12" s="248">
        <f>VLOOKUP($C12,Saisie!$C$4:$J$44,K$1,FALSE)/VLOOKUP($C$6,Saisie!$C$4:$J$44,K$1,FALSE)*100</f>
        <v>84.453464601012627</v>
      </c>
      <c r="K12" s="249">
        <f t="shared" si="1"/>
        <v>8.4453464601012627</v>
      </c>
      <c r="L12" s="248">
        <f>VLOOKUP($C12,Saisie!$C$4:$J$44,M$1,FALSE)/VLOOKUP($C$6,Saisie!$C$4:$J$44,M$1,FALSE)*100</f>
        <v>85.563935817536731</v>
      </c>
      <c r="M12" s="249">
        <f t="shared" si="2"/>
        <v>8.5563935817536727</v>
      </c>
      <c r="N12" s="248">
        <f>VLOOKUP($C12,Saisie!$C$4:$J$44,O$1,FALSE)/VLOOKUP($C$6,Saisie!$C$4:$J$44,O$1,FALSE)*100</f>
        <v>83.547290446871642</v>
      </c>
      <c r="O12" s="250">
        <f t="shared" si="3"/>
        <v>8.3547290446871649</v>
      </c>
      <c r="P12"/>
      <c r="Q12" s="239"/>
    </row>
    <row r="13" spans="1:17" x14ac:dyDescent="0.2">
      <c r="A13"/>
      <c r="B13"/>
      <c r="C13" s="247">
        <f t="shared" si="4"/>
        <v>45413</v>
      </c>
      <c r="D13" s="248">
        <f>VLOOKUP($C13,Saisie!$C$4:$J$44,D$1,FALSE)/VLOOKUP($C$6,Saisie!$C$4:$J$44,D$1,FALSE)*100</f>
        <v>78.657004479079433</v>
      </c>
      <c r="E13" s="249">
        <f t="shared" si="0"/>
        <v>7.8657004479079431</v>
      </c>
      <c r="F13" s="248">
        <f>VLOOKUP($C13,Saisie!$C$4:$J$44,F$1,FALSE)/VLOOKUP($C$6,Saisie!$C$4:$J$44,F$1,FALSE)*100</f>
        <v>85.14346511745731</v>
      </c>
      <c r="G13" s="249">
        <f t="shared" si="5"/>
        <v>8.5143465117457318</v>
      </c>
      <c r="H13" s="248">
        <f>VLOOKUP($C13,Saisie!$C$4:$J$44,H$1,FALSE)/VLOOKUP($C$6,Saisie!$C$4:$J$44,H$1,FALSE)*100</f>
        <v>111.35090005948656</v>
      </c>
      <c r="I13" s="360">
        <v>2.0843186939156975</v>
      </c>
      <c r="J13" s="248">
        <f>VLOOKUP($C13,Saisie!$C$4:$J$44,K$1,FALSE)/VLOOKUP($C$6,Saisie!$C$4:$J$44,K$1,FALSE)*100</f>
        <v>86.070222591964921</v>
      </c>
      <c r="K13" s="249">
        <f t="shared" si="1"/>
        <v>8.6070222591964924</v>
      </c>
      <c r="L13" s="248">
        <f>VLOOKUP($C13,Saisie!$C$4:$J$44,M$1,FALSE)/VLOOKUP($C$6,Saisie!$C$4:$J$44,M$1,FALSE)*100</f>
        <v>88.112457935583564</v>
      </c>
      <c r="M13" s="249">
        <f t="shared" si="2"/>
        <v>8.8112457935583564</v>
      </c>
      <c r="N13" s="248">
        <f>VLOOKUP($C13,Saisie!$C$4:$J$44,O$1,FALSE)/VLOOKUP($C$6,Saisie!$C$4:$J$44,O$1,FALSE)*100</f>
        <v>85.927583603465422</v>
      </c>
      <c r="O13" s="250">
        <f t="shared" si="3"/>
        <v>8.5927583603465436</v>
      </c>
      <c r="P13"/>
      <c r="Q13" s="239"/>
    </row>
    <row r="14" spans="1:17" x14ac:dyDescent="0.2">
      <c r="A14"/>
      <c r="B14"/>
      <c r="C14" s="247">
        <f t="shared" si="4"/>
        <v>45444</v>
      </c>
      <c r="D14" s="248">
        <f>VLOOKUP($C14,Saisie!$C$4:$J$44,D$1,FALSE)/VLOOKUP($C$6,Saisie!$C$4:$J$44,D$1,FALSE)*100</f>
        <v>79.23964895670224</v>
      </c>
      <c r="E14" s="249">
        <f t="shared" si="0"/>
        <v>7.923964895670224</v>
      </c>
      <c r="F14" s="248">
        <f>VLOOKUP($C14,Saisie!$C$4:$J$44,F$1,FALSE)/VLOOKUP($C$6,Saisie!$C$4:$J$44,F$1,FALSE)*100</f>
        <v>89.439818958674607</v>
      </c>
      <c r="G14" s="249">
        <f t="shared" si="5"/>
        <v>8.9439818958674611</v>
      </c>
      <c r="H14" s="248">
        <f>VLOOKUP($C14,Saisie!$C$4:$J$44,H$1,FALSE)/VLOOKUP($C$6,Saisie!$C$4:$J$44,H$1,FALSE)*100</f>
        <v>111.54535122469653</v>
      </c>
      <c r="I14" s="360">
        <v>2.0879585225877988</v>
      </c>
      <c r="J14" s="248">
        <f>VLOOKUP($C14,Saisie!$C$4:$J$44,K$1,FALSE)/VLOOKUP($C$6,Saisie!$C$4:$J$44,K$1,FALSE)*100</f>
        <v>86.690688718541722</v>
      </c>
      <c r="K14" s="249">
        <f t="shared" si="1"/>
        <v>8.6690688718541722</v>
      </c>
      <c r="L14" s="248">
        <f>VLOOKUP($C14,Saisie!$C$4:$J$44,M$1,FALSE)/VLOOKUP($C$6,Saisie!$C$4:$J$44,M$1,FALSE)*100</f>
        <v>89.820160742868453</v>
      </c>
      <c r="M14" s="249">
        <f t="shared" si="2"/>
        <v>8.9820160742868449</v>
      </c>
      <c r="N14" s="248">
        <f>VLOOKUP($C14,Saisie!$C$4:$J$44,O$1,FALSE)/VLOOKUP($C$6,Saisie!$C$4:$J$44,O$1,FALSE)*100</f>
        <v>87.307394954444163</v>
      </c>
      <c r="O14" s="250">
        <f t="shared" si="3"/>
        <v>8.730739495444416</v>
      </c>
      <c r="P14"/>
      <c r="Q14" s="239"/>
    </row>
    <row r="15" spans="1:17" x14ac:dyDescent="0.2">
      <c r="A15"/>
      <c r="B15"/>
      <c r="C15" s="247">
        <f t="shared" si="4"/>
        <v>45474</v>
      </c>
      <c r="D15" s="248">
        <f>VLOOKUP($C15,Saisie!$C$4:$J$44,D$1,FALSE)/VLOOKUP($C$6,Saisie!$C$4:$J$44,D$1,FALSE)*100</f>
        <v>75.918575434252219</v>
      </c>
      <c r="E15" s="249">
        <f t="shared" si="0"/>
        <v>7.5918575434252213</v>
      </c>
      <c r="F15" s="248">
        <f>VLOOKUP($C15,Saisie!$C$4:$J$44,F$1,FALSE)/VLOOKUP($C$6,Saisie!$C$4:$J$44,F$1,FALSE)*100</f>
        <v>88.061743198284148</v>
      </c>
      <c r="G15" s="249">
        <f t="shared" si="5"/>
        <v>8.8061743198284148</v>
      </c>
      <c r="H15" s="248">
        <f>VLOOKUP($C15,Saisie!$C$4:$J$44,H$1,FALSE)/VLOOKUP($C$6,Saisie!$C$4:$J$44,H$1,FALSE)*100</f>
        <v>110.99942880811047</v>
      </c>
      <c r="I15" s="360">
        <v>2.0777396891728008</v>
      </c>
      <c r="J15" s="248">
        <f>VLOOKUP($C15,Saisie!$C$4:$J$44,K$1,FALSE)/VLOOKUP($C$6,Saisie!$C$4:$J$44,K$1,FALSE)*100</f>
        <v>84.58078774380013</v>
      </c>
      <c r="K15" s="249">
        <f t="shared" si="1"/>
        <v>8.458078774380013</v>
      </c>
      <c r="L15" s="248">
        <f>VLOOKUP($C15,Saisie!$C$4:$J$44,M$1,FALSE)/VLOOKUP($C$6,Saisie!$C$4:$J$44,M$1,FALSE)*100</f>
        <v>88.30232476459831</v>
      </c>
      <c r="M15" s="249">
        <f t="shared" si="2"/>
        <v>8.8302324764598321</v>
      </c>
      <c r="N15" s="248">
        <f>VLOOKUP($C15,Saisie!$C$4:$J$44,O$1,FALSE)/VLOOKUP($C$6,Saisie!$C$4:$J$44,O$1,FALSE)*100</f>
        <v>85.356584632894055</v>
      </c>
      <c r="O15" s="250">
        <f t="shared" si="3"/>
        <v>8.5356584632894048</v>
      </c>
      <c r="P15"/>
      <c r="Q15" s="239"/>
    </row>
    <row r="16" spans="1:17" x14ac:dyDescent="0.2">
      <c r="A16"/>
      <c r="B16"/>
      <c r="C16" s="247">
        <f t="shared" si="4"/>
        <v>45505</v>
      </c>
      <c r="D16" s="248">
        <f>VLOOKUP($C16,Saisie!$C$4:$J$44,D$1,FALSE)/VLOOKUP($C$6,Saisie!$C$4:$J$44,D$1,FALSE)*100</f>
        <v>74.724154255125455</v>
      </c>
      <c r="E16" s="249">
        <f t="shared" si="0"/>
        <v>7.472415425512545</v>
      </c>
      <c r="F16" s="248">
        <f>VLOOKUP($C16,Saisie!$C$4:$J$44,F$1,FALSE)/VLOOKUP($C$6,Saisie!$C$4:$J$44,F$1,FALSE)*100</f>
        <v>90.588215425666661</v>
      </c>
      <c r="G16" s="249">
        <f t="shared" si="5"/>
        <v>9.0588215425666654</v>
      </c>
      <c r="H16" s="248">
        <f>VLOOKUP($C16,Saisie!$C$4:$J$44,H$1,FALSE)/VLOOKUP($C$6,Saisie!$C$4:$J$44,H$1,FALSE)*100</f>
        <v>113.54801770008068</v>
      </c>
      <c r="I16" s="360">
        <v>2.1254453787343719</v>
      </c>
      <c r="J16" s="248">
        <f>VLOOKUP($C16,Saisie!$C$4:$J$44,K$1,FALSE)/VLOOKUP($C$6,Saisie!$C$4:$J$44,K$1,FALSE)*100</f>
        <v>84.008531449911857</v>
      </c>
      <c r="K16" s="249">
        <f t="shared" si="1"/>
        <v>8.400853144991185</v>
      </c>
      <c r="L16" s="248">
        <f>VLOOKUP($C16,Saisie!$C$4:$J$44,M$1,FALSE)/VLOOKUP($C$6,Saisie!$C$4:$J$44,M$1,FALSE)*100</f>
        <v>88.830799263088551</v>
      </c>
      <c r="M16" s="249">
        <f t="shared" si="2"/>
        <v>8.8830799263088558</v>
      </c>
      <c r="N16" s="248">
        <f>VLOOKUP($C16,Saisie!$C$4:$J$44,O$1,FALSE)/VLOOKUP($C$6,Saisie!$C$4:$J$44,O$1,FALSE)*100</f>
        <v>85.428328286436411</v>
      </c>
      <c r="O16" s="250">
        <f t="shared" si="3"/>
        <v>8.5428328286436415</v>
      </c>
      <c r="P16"/>
      <c r="Q16" s="239"/>
    </row>
    <row r="17" spans="1:18" x14ac:dyDescent="0.2">
      <c r="A17"/>
      <c r="B17"/>
      <c r="C17" s="247">
        <f t="shared" si="4"/>
        <v>45536</v>
      </c>
      <c r="D17" s="248">
        <f>VLOOKUP($C17,Saisie!$C$4:$J$44,D$1,FALSE)/VLOOKUP($C$6,Saisie!$C$4:$J$44,D$1,FALSE)*100</f>
        <v>72.757729143148467</v>
      </c>
      <c r="E17" s="249">
        <f t="shared" si="0"/>
        <v>7.2757729143148469</v>
      </c>
      <c r="F17" s="248">
        <f>VLOOKUP($C17,Saisie!$C$4:$J$44,F$1,FALSE)/VLOOKUP($C$6,Saisie!$C$4:$J$44,F$1,FALSE)*100</f>
        <v>88.358975225035039</v>
      </c>
      <c r="G17" s="249">
        <f t="shared" si="5"/>
        <v>8.8358975225035028</v>
      </c>
      <c r="H17" s="248">
        <f>VLOOKUP($C17,Saisie!$C$4:$J$44,H$1,FALSE)/VLOOKUP($C$6,Saisie!$C$4:$J$44,H$1,FALSE)*100</f>
        <v>108.10015818979421</v>
      </c>
      <c r="I17" s="360">
        <v>2.0234697735704237</v>
      </c>
      <c r="J17" s="248">
        <f>VLOOKUP($C17,Saisie!$C$4:$J$44,K$1,FALSE)/VLOOKUP($C$6,Saisie!$C$4:$J$44,K$1,FALSE)*100</f>
        <v>82.672000122728122</v>
      </c>
      <c r="K17" s="249">
        <f t="shared" si="1"/>
        <v>8.2672000122728129</v>
      </c>
      <c r="L17" s="248">
        <f>VLOOKUP($C17,Saisie!$C$4:$J$44,M$1,FALSE)/VLOOKUP($C$6,Saisie!$C$4:$J$44,M$1,FALSE)*100</f>
        <v>87.429657952374498</v>
      </c>
      <c r="M17" s="249">
        <f t="shared" si="2"/>
        <v>8.7429657952374491</v>
      </c>
      <c r="N17" s="248">
        <f>VLOOKUP($C17,Saisie!$C$4:$J$44,O$1,FALSE)/VLOOKUP($C$6,Saisie!$C$4:$J$44,O$1,FALSE)*100</f>
        <v>83.911587965748353</v>
      </c>
      <c r="O17" s="250">
        <f t="shared" si="3"/>
        <v>8.3911587965748353</v>
      </c>
      <c r="P17"/>
      <c r="Q17" s="239"/>
    </row>
    <row r="18" spans="1:18" s="156" customFormat="1" x14ac:dyDescent="0.2">
      <c r="A18" s="22"/>
      <c r="B18" s="22"/>
      <c r="C18" s="247">
        <f t="shared" si="4"/>
        <v>45566</v>
      </c>
      <c r="D18" s="248">
        <f>VLOOKUP($C18,Saisie!$C$4:$J$44,D$1,FALSE)/VLOOKUP($C$6,Saisie!$C$4:$J$44,D$1,FALSE)*100</f>
        <v>73.005353046138154</v>
      </c>
      <c r="E18" s="249">
        <f t="shared" si="0"/>
        <v>7.3005353046138159</v>
      </c>
      <c r="F18" s="248">
        <f>VLOOKUP($C18,Saisie!$C$4:$J$44,F$1,FALSE)/VLOOKUP($C$6,Saisie!$C$4:$J$44,F$1,FALSE)*100</f>
        <v>78.145001942141079</v>
      </c>
      <c r="G18" s="249">
        <f t="shared" si="5"/>
        <v>7.8145001942141086</v>
      </c>
      <c r="H18" s="248">
        <f>VLOOKUP($C18,Saisie!$C$4:$J$44,H$1,FALSE)/VLOOKUP($C$6,Saisie!$C$4:$J$44,H$1,FALSE)*100</f>
        <v>112.61715567570315</v>
      </c>
      <c r="I18" s="360">
        <v>2.1080210640873434</v>
      </c>
      <c r="J18" s="248">
        <f>VLOOKUP($C18,Saisie!$C$4:$J$44,K$1,FALSE)/VLOOKUP($C$6,Saisie!$C$4:$J$44,K$1,FALSE)*100</f>
        <v>82.192418931572419</v>
      </c>
      <c r="K18" s="249">
        <f t="shared" si="1"/>
        <v>8.2192418931572426</v>
      </c>
      <c r="L18" s="248">
        <f>VLOOKUP($C18,Saisie!$C$4:$J$44,M$1,FALSE)/VLOOKUP($C$6,Saisie!$C$4:$J$44,M$1,FALSE)*100</f>
        <v>83.875207863626457</v>
      </c>
      <c r="M18" s="249">
        <f t="shared" si="2"/>
        <v>8.3875207863626446</v>
      </c>
      <c r="N18" s="248">
        <f>VLOOKUP($C18,Saisie!$C$4:$J$44,O$1,FALSE)/VLOOKUP($C$6,Saisie!$C$4:$J$44,O$1,FALSE)*100</f>
        <v>81.417005200839469</v>
      </c>
      <c r="O18" s="250">
        <f t="shared" si="3"/>
        <v>8.1417005200839476</v>
      </c>
      <c r="P18" s="22"/>
      <c r="Q18" s="239"/>
      <c r="R18" s="153"/>
    </row>
    <row r="19" spans="1:18" s="156" customFormat="1" x14ac:dyDescent="0.2">
      <c r="A19" s="22"/>
      <c r="B19" s="22"/>
      <c r="C19" s="247">
        <f t="shared" si="4"/>
        <v>45597</v>
      </c>
      <c r="D19" s="248">
        <f>VLOOKUP($C19,Saisie!$C$4:$J$44,D$1,FALSE)/VLOOKUP($C$6,Saisie!$C$4:$J$44,D$1,FALSE)*100</f>
        <v>80.632291943727296</v>
      </c>
      <c r="E19" s="249">
        <f t="shared" si="0"/>
        <v>8.0632291943727292</v>
      </c>
      <c r="F19" s="248">
        <f>VLOOKUP($C19,Saisie!$C$4:$J$44,F$1,FALSE)/VLOOKUP($C$6,Saisie!$C$4:$J$44,F$1,FALSE)*100</f>
        <v>74.646380646706376</v>
      </c>
      <c r="G19" s="249">
        <f t="shared" si="5"/>
        <v>7.4646380646706367</v>
      </c>
      <c r="H19" s="248">
        <f>VLOOKUP($C19,Saisie!$C$4:$J$44,H$1,FALSE)/VLOOKUP($C$6,Saisie!$C$4:$J$44,H$1,FALSE)*100</f>
        <v>108.3028677811688</v>
      </c>
      <c r="I19" s="262">
        <f t="shared" ref="I19:I27" si="6">$I$6*H19/$H$6</f>
        <v>2.0301131990827281</v>
      </c>
      <c r="J19" s="248">
        <f>VLOOKUP($C19,Saisie!$C$4:$J$44,K$1,FALSE)/VLOOKUP($C$6,Saisie!$C$4:$J$44,K$1,FALSE)*100</f>
        <v>86.626503255376718</v>
      </c>
      <c r="K19" s="249">
        <f t="shared" si="1"/>
        <v>8.6626503255376726</v>
      </c>
      <c r="L19" s="248">
        <f>VLOOKUP($C19,Saisie!$C$4:$J$44,M$1,FALSE)/VLOOKUP($C$6,Saisie!$C$4:$J$44,M$1,FALSE)*100</f>
        <v>84.992101187060172</v>
      </c>
      <c r="M19" s="249">
        <f t="shared" si="2"/>
        <v>8.4992101187060172</v>
      </c>
      <c r="N19" s="248">
        <f>VLOOKUP($C19,Saisie!$C$4:$J$44,O$1,FALSE)/VLOOKUP($C$6,Saisie!$C$4:$J$44,O$1,FALSE)*100</f>
        <v>84.191936837648385</v>
      </c>
      <c r="O19" s="250">
        <f t="shared" si="3"/>
        <v>8.4191936837648385</v>
      </c>
      <c r="P19" s="22"/>
      <c r="Q19" s="239"/>
      <c r="R19" s="153"/>
    </row>
    <row r="20" spans="1:18" ht="13.5" thickBot="1" x14ac:dyDescent="0.25">
      <c r="A20"/>
      <c r="B20"/>
      <c r="C20" s="251">
        <f t="shared" si="4"/>
        <v>45627</v>
      </c>
      <c r="D20" s="252">
        <f>VLOOKUP($C20,Saisie!$C$4:$J$44,D$1,FALSE)/VLOOKUP($C$6,Saisie!$C$4:$J$44,D$1,FALSE)*100</f>
        <v>84.164393058682279</v>
      </c>
      <c r="E20" s="253">
        <f t="shared" si="0"/>
        <v>8.4164393058682272</v>
      </c>
      <c r="F20" s="252">
        <f>VLOOKUP($C20,Saisie!$C$4:$J$44,F$1,FALSE)/VLOOKUP($C$6,Saisie!$C$4:$J$44,F$1,FALSE)*100</f>
        <v>75.757717518806459</v>
      </c>
      <c r="G20" s="253">
        <f t="shared" si="5"/>
        <v>7.5757717518806453</v>
      </c>
      <c r="H20" s="252">
        <f>VLOOKUP($C20,Saisie!$C$4:$J$44,H$1,FALSE)/VLOOKUP($C$6,Saisie!$C$4:$J$44,H$1,FALSE)*100</f>
        <v>103.7584083422575</v>
      </c>
      <c r="I20" s="264">
        <f t="shared" si="6"/>
        <v>1.9449283163677935</v>
      </c>
      <c r="J20" s="252">
        <f>VLOOKUP($C20,Saisie!$C$4:$J$44,K$1,FALSE)/VLOOKUP($C$6,Saisie!$C$4:$J$44,K$1,FALSE)*100</f>
        <v>88.848598686056548</v>
      </c>
      <c r="K20" s="253">
        <f t="shared" si="1"/>
        <v>8.8848598686056555</v>
      </c>
      <c r="L20" s="252">
        <f>VLOOKUP($C20,Saisie!$C$4:$J$44,M$1,FALSE)/VLOOKUP($C$6,Saisie!$C$4:$J$44,M$1,FALSE)*100</f>
        <v>86.480427292668622</v>
      </c>
      <c r="M20" s="253">
        <f t="shared" si="2"/>
        <v>8.6480427292668622</v>
      </c>
      <c r="N20" s="252">
        <f>VLOOKUP($C20,Saisie!$C$4:$J$44,O$1,FALSE)/VLOOKUP($C$6,Saisie!$C$4:$J$44,O$1,FALSE)*100</f>
        <v>86.176039385957921</v>
      </c>
      <c r="O20" s="254">
        <f t="shared" si="3"/>
        <v>8.6176039385957921</v>
      </c>
      <c r="P20"/>
      <c r="Q20" s="239"/>
    </row>
    <row r="21" spans="1:18" ht="6" customHeight="1" thickBot="1" x14ac:dyDescent="0.25">
      <c r="A21"/>
      <c r="B21"/>
      <c r="C21" s="255"/>
      <c r="D21" s="255"/>
      <c r="E21" s="255"/>
      <c r="F21" s="255"/>
      <c r="G21" s="255"/>
      <c r="H21" s="255"/>
      <c r="I21" s="255"/>
      <c r="J21" s="255"/>
      <c r="K21" s="255"/>
      <c r="L21" s="255"/>
      <c r="M21" s="255"/>
      <c r="N21" s="255"/>
      <c r="O21" s="255"/>
      <c r="P21"/>
      <c r="Q21" s="239"/>
    </row>
    <row r="22" spans="1:18" ht="12" customHeight="1" x14ac:dyDescent="0.2">
      <c r="A22"/>
      <c r="B22"/>
      <c r="C22" s="256">
        <f>DATE(YEAR(C20),MONTH(C20)+1,1)</f>
        <v>45658</v>
      </c>
      <c r="D22" s="257">
        <f>VLOOKUP($C22,Saisie!$C$4:$J$44,D$1,FALSE)/VLOOKUP($C$6,Saisie!$C$4:$J$44,D$1,FALSE)*100</f>
        <v>82.907144495174705</v>
      </c>
      <c r="E22" s="258">
        <f t="shared" si="0"/>
        <v>8.2907144495174698</v>
      </c>
      <c r="F22" s="257">
        <f>VLOOKUP($C22,Saisie!$C$4:$J$44,F$1,FALSE)/VLOOKUP($C$6,Saisie!$C$4:$J$44,F$1,FALSE)*100</f>
        <v>73.208647996430273</v>
      </c>
      <c r="G22" s="258">
        <f t="shared" si="5"/>
        <v>7.3208647996430276</v>
      </c>
      <c r="H22" s="257">
        <f>VLOOKUP($C22,Saisie!$C$4:$J$44,H$1,FALSE)/VLOOKUP($C$6,Saisie!$C$4:$J$44,H$1,FALSE)*100</f>
        <v>103.44734183932727</v>
      </c>
      <c r="I22" s="259">
        <f t="shared" si="6"/>
        <v>1.9390974438680262</v>
      </c>
      <c r="J22" s="260">
        <f>VLOOKUP($C22,Saisie!$C$4:$J$44,K$1,FALSE)/VLOOKUP($C$6,Saisie!$C$4:$J$44,K$1,FALSE)*100</f>
        <v>87.924700852988664</v>
      </c>
      <c r="K22" s="258">
        <f t="shared" si="1"/>
        <v>8.7924700852988664</v>
      </c>
      <c r="L22" s="257">
        <f>VLOOKUP($C22,Saisie!$C$4:$J$44,M$1,FALSE)/VLOOKUP($C$6,Saisie!$C$4:$J$44,M$1,FALSE)*100</f>
        <v>85.185087563234902</v>
      </c>
      <c r="M22" s="258">
        <f t="shared" si="2"/>
        <v>8.5185087563234898</v>
      </c>
      <c r="N22" s="257">
        <f>VLOOKUP($C22,Saisie!$C$4:$J$44,O$1,FALSE)/VLOOKUP($C$6,Saisie!$C$4:$J$44,O$1,FALSE)*100</f>
        <v>84.918724050254397</v>
      </c>
      <c r="O22" s="261">
        <f t="shared" si="3"/>
        <v>8.4918724050254397</v>
      </c>
      <c r="P22"/>
      <c r="Q22" s="239"/>
    </row>
    <row r="23" spans="1:18" x14ac:dyDescent="0.2">
      <c r="A23"/>
      <c r="B23"/>
      <c r="C23" s="247">
        <f t="shared" ref="C23:C33" si="7">DATE(YEAR(C22),MONTH(C22)+1,1)</f>
        <v>45689</v>
      </c>
      <c r="D23" s="248">
        <f>VLOOKUP($C23,Saisie!$C$4:$J$44,D$1,FALSE)/VLOOKUP($C$6,Saisie!$C$4:$J$44,D$1,FALSE)*100</f>
        <v>82.655674868219876</v>
      </c>
      <c r="E23" s="249">
        <f t="shared" si="0"/>
        <v>8.2655674868219879</v>
      </c>
      <c r="F23" s="248">
        <f>VLOOKUP($C23,Saisie!$C$4:$J$44,F$1,FALSE)/VLOOKUP($C$6,Saisie!$C$4:$J$44,F$1,FALSE)*100</f>
        <v>72.272695284851721</v>
      </c>
      <c r="G23" s="249">
        <f t="shared" si="5"/>
        <v>7.2272695284851718</v>
      </c>
      <c r="H23" s="248">
        <f>VLOOKUP($C23,Saisie!$C$4:$J$44,H$1,FALSE)/VLOOKUP($C$6,Saisie!$C$4:$J$44,H$1,FALSE)*100</f>
        <v>102.46656631896833</v>
      </c>
      <c r="I23" s="262">
        <f t="shared" si="6"/>
        <v>1.9207130246000066</v>
      </c>
      <c r="J23" s="263">
        <f>VLOOKUP($C23,Saisie!$C$4:$J$44,K$1,FALSE)/VLOOKUP($C$6,Saisie!$C$4:$J$44,K$1,FALSE)*100</f>
        <v>87.713601656455168</v>
      </c>
      <c r="K23" s="249">
        <f t="shared" si="1"/>
        <v>8.7713601656455165</v>
      </c>
      <c r="L23" s="248">
        <f>VLOOKUP($C23,Saisie!$C$4:$J$44,M$1,FALSE)/VLOOKUP($C$6,Saisie!$C$4:$J$44,M$1,FALSE)*100</f>
        <v>84.774520013302336</v>
      </c>
      <c r="M23" s="249">
        <f t="shared" si="2"/>
        <v>8.4774520013302332</v>
      </c>
      <c r="N23" s="248">
        <f>VLOOKUP($C23,Saisie!$C$4:$J$44,O$1,FALSE)/VLOOKUP($C$6,Saisie!$C$4:$J$44,O$1,FALSE)*100</f>
        <v>84.558202970423551</v>
      </c>
      <c r="O23" s="250">
        <f t="shared" si="3"/>
        <v>8.4558202970423562</v>
      </c>
      <c r="P23"/>
      <c r="Q23" s="239"/>
    </row>
    <row r="24" spans="1:18" x14ac:dyDescent="0.2">
      <c r="A24"/>
      <c r="B24"/>
      <c r="C24" s="247">
        <f t="shared" si="7"/>
        <v>45717</v>
      </c>
      <c r="D24" s="248">
        <f>VLOOKUP($C24,Saisie!$C$4:$J$44,D$1,FALSE)/VLOOKUP($C$6,Saisie!$C$4:$J$44,D$1,FALSE)*100</f>
        <v>84.374334632928381</v>
      </c>
      <c r="E24" s="249">
        <f t="shared" si="0"/>
        <v>8.4374334632928374</v>
      </c>
      <c r="F24" s="248">
        <f>VLOOKUP($C24,Saisie!$C$4:$J$44,F$1,FALSE)/VLOOKUP($C$6,Saisie!$C$4:$J$44,F$1,FALSE)*100</f>
        <v>73.616298797336668</v>
      </c>
      <c r="G24" s="249">
        <f t="shared" si="5"/>
        <v>7.3616298797336661</v>
      </c>
      <c r="H24" s="248">
        <f>VLOOKUP($C24,Saisie!$C$4:$J$44,H$1,FALSE)/VLOOKUP($C$6,Saisie!$C$4:$J$44,H$1,FALSE)*100</f>
        <v>106.45881161638901</v>
      </c>
      <c r="I24" s="262">
        <f t="shared" si="6"/>
        <v>1.9955467758968388</v>
      </c>
      <c r="J24" s="263">
        <f>VLOOKUP($C24,Saisie!$C$4:$J$44,K$1,FALSE)/VLOOKUP($C$6,Saisie!$C$4:$J$44,K$1,FALSE)*100</f>
        <v>88.844398487415717</v>
      </c>
      <c r="K24" s="249">
        <f t="shared" si="1"/>
        <v>8.8844398487415717</v>
      </c>
      <c r="L24" s="248">
        <f>VLOOKUP($C24,Saisie!$C$4:$J$44,M$1,FALSE)/VLOOKUP($C$6,Saisie!$C$4:$J$44,M$1,FALSE)*100</f>
        <v>85.78412778470063</v>
      </c>
      <c r="M24" s="249">
        <f t="shared" si="2"/>
        <v>8.5784127784700619</v>
      </c>
      <c r="N24" s="248">
        <f>VLOOKUP($C24,Saisie!$C$4:$J$44,O$1,FALSE)/VLOOKUP($C$6,Saisie!$C$4:$J$44,O$1,FALSE)*100</f>
        <v>85.729080591937262</v>
      </c>
      <c r="O24" s="250">
        <f t="shared" si="3"/>
        <v>8.5729080591937254</v>
      </c>
      <c r="P24"/>
      <c r="Q24" s="239"/>
    </row>
    <row r="25" spans="1:18" x14ac:dyDescent="0.2">
      <c r="A25"/>
      <c r="B25"/>
      <c r="C25" s="247">
        <f t="shared" si="7"/>
        <v>45748</v>
      </c>
      <c r="D25" s="248">
        <f>VLOOKUP($C25,Saisie!$C$4:$J$44,D$1,FALSE)/VLOOKUP($C$6,Saisie!$C$4:$J$44,D$1,FALSE)*100</f>
        <v>84.601746107918657</v>
      </c>
      <c r="E25" s="249">
        <f t="shared" si="0"/>
        <v>8.4601746107918654</v>
      </c>
      <c r="F25" s="248">
        <f>VLOOKUP($C25,Saisie!$C$4:$J$44,F$1,FALSE)/VLOOKUP($C$6,Saisie!$C$4:$J$44,F$1,FALSE)*100</f>
        <v>74.666506188536331</v>
      </c>
      <c r="G25" s="249">
        <f t="shared" si="5"/>
        <v>7.4666506188536337</v>
      </c>
      <c r="H25" s="248">
        <f>VLOOKUP($C25,Saisie!$C$4:$J$44,H$1,FALSE)/VLOOKUP($C$6,Saisie!$C$4:$J$44,H$1,FALSE)*100</f>
        <v>109.47517953872155</v>
      </c>
      <c r="I25" s="262">
        <f>$I$6*H25/$H$6</f>
        <v>2.05208792257072</v>
      </c>
      <c r="J25" s="263">
        <f>VLOOKUP($C25,Saisie!$C$4:$J$44,K$1,FALSE)/VLOOKUP($C$6,Saisie!$C$4:$J$44,K$1,FALSE)*100</f>
        <v>89.047883125180434</v>
      </c>
      <c r="K25" s="249">
        <f t="shared" si="1"/>
        <v>8.9047883125180434</v>
      </c>
      <c r="L25" s="248">
        <f>VLOOKUP($C25,Saisie!$C$4:$J$44,M$1,FALSE)/VLOOKUP($C$6,Saisie!$C$4:$J$44,M$1,FALSE)*100</f>
        <v>86.227866775612597</v>
      </c>
      <c r="M25" s="249">
        <f t="shared" si="2"/>
        <v>8.62278667756126</v>
      </c>
      <c r="N25" s="248">
        <f>VLOOKUP($C25,Saisie!$C$4:$J$44,O$1,FALSE)/VLOOKUP($C$6,Saisie!$C$4:$J$44,O$1,FALSE)*100</f>
        <v>86.107262082593266</v>
      </c>
      <c r="O25" s="250">
        <f t="shared" si="3"/>
        <v>8.6107262082593259</v>
      </c>
      <c r="P25"/>
      <c r="Q25" s="239"/>
    </row>
    <row r="26" spans="1:18" x14ac:dyDescent="0.2">
      <c r="A26"/>
      <c r="B26"/>
      <c r="C26" s="247">
        <f t="shared" si="7"/>
        <v>45778</v>
      </c>
      <c r="D26" s="248">
        <f>VLOOKUP($C26,Saisie!$C$4:$J$44,D$1,FALSE)/VLOOKUP($C$6,Saisie!$C$4:$J$44,D$1,FALSE)*100</f>
        <v>87.595880321435132</v>
      </c>
      <c r="E26" s="249">
        <f t="shared" si="0"/>
        <v>8.7595880321435136</v>
      </c>
      <c r="F26" s="248">
        <f>VLOOKUP($C26,Saisie!$C$4:$J$44,F$1,FALSE)/VLOOKUP($C$6,Saisie!$C$4:$J$44,F$1,FALSE)*100</f>
        <v>76.375928282048619</v>
      </c>
      <c r="G26" s="249">
        <f t="shared" si="5"/>
        <v>7.6375928282048617</v>
      </c>
      <c r="H26" s="248">
        <f>VLOOKUP($C26,Saisie!$C$4:$J$44,H$1,FALSE)/VLOOKUP($C$6,Saisie!$C$4:$J$44,H$1,FALSE)*100</f>
        <v>118.66334064678716</v>
      </c>
      <c r="I26" s="262">
        <f t="shared" si="6"/>
        <v>2.2243179615616717</v>
      </c>
      <c r="J26" s="263">
        <f>VLOOKUP($C26,Saisie!$C$4:$J$44,K$1,FALSE)/VLOOKUP($C$6,Saisie!$C$4:$J$44,K$1,FALSE)*100</f>
        <v>90.978907914424894</v>
      </c>
      <c r="K26" s="249">
        <f t="shared" si="1"/>
        <v>9.0978907914424898</v>
      </c>
      <c r="L26" s="248">
        <f>VLOOKUP($C26,Saisie!$C$4:$J$44,M$1,FALSE)/VLOOKUP($C$6,Saisie!$C$4:$J$44,M$1,FALSE)*100</f>
        <v>87.762304169387377</v>
      </c>
      <c r="M26" s="249">
        <f t="shared" si="2"/>
        <v>8.7762304169387377</v>
      </c>
      <c r="N26" s="248">
        <f>VLOOKUP($C26,Saisie!$C$4:$J$44,O$1,FALSE)/VLOOKUP($C$6,Saisie!$C$4:$J$44,O$1,FALSE)*100</f>
        <v>87.985534275131229</v>
      </c>
      <c r="O26" s="250">
        <f t="shared" si="3"/>
        <v>8.7985534275131219</v>
      </c>
      <c r="P26"/>
      <c r="Q26" s="239"/>
    </row>
    <row r="27" spans="1:18" x14ac:dyDescent="0.2">
      <c r="A27"/>
      <c r="B27"/>
      <c r="C27" s="247">
        <f t="shared" si="7"/>
        <v>45809</v>
      </c>
      <c r="D27" s="248">
        <f>VLOOKUP($C27,Saisie!$C$4:$J$44,D$1,FALSE)/VLOOKUP($C$6,Saisie!$C$4:$J$44,D$1,FALSE)*100</f>
        <v>84.822593036120836</v>
      </c>
      <c r="E27" s="249">
        <f t="shared" si="0"/>
        <v>8.4822593036120839</v>
      </c>
      <c r="F27" s="248">
        <f>VLOOKUP($C27,Saisie!$C$4:$J$44,F$1,FALSE)/VLOOKUP($C$6,Saisie!$C$4:$J$44,F$1,FALSE)*100</f>
        <v>75.673303966005676</v>
      </c>
      <c r="G27" s="249">
        <f t="shared" si="5"/>
        <v>7.5673303966005676</v>
      </c>
      <c r="H27" s="248">
        <f>VLOOKUP($C27,Saisie!$C$4:$J$44,H$1,FALSE)/VLOOKUP($C$6,Saisie!$C$4:$J$44,H$1,FALSE)*100</f>
        <v>123.94400493498318</v>
      </c>
      <c r="I27" s="262">
        <f t="shared" si="6"/>
        <v>2.3233028406421825</v>
      </c>
      <c r="J27" s="263">
        <f>VLOOKUP($C27,Saisie!$C$4:$J$44,K$1,FALSE)/VLOOKUP($C$6,Saisie!$C$4:$J$44,K$1,FALSE)*100</f>
        <v>89.24468554983288</v>
      </c>
      <c r="K27" s="249">
        <f t="shared" si="1"/>
        <v>8.9244685549832869</v>
      </c>
      <c r="L27" s="248">
        <f>VLOOKUP($C27,Saisie!$C$4:$J$44,M$1,FALSE)/VLOOKUP($C$6,Saisie!$C$4:$J$44,M$1,FALSE)*100</f>
        <v>86.65414170290066</v>
      </c>
      <c r="M27" s="249">
        <f t="shared" si="2"/>
        <v>8.6654141702900667</v>
      </c>
      <c r="N27" s="248">
        <f>VLOOKUP($C27,Saisie!$C$4:$J$44,O$1,FALSE)/VLOOKUP($C$6,Saisie!$C$4:$J$44,O$1,FALSE)*100</f>
        <v>86.471176121169151</v>
      </c>
      <c r="O27" s="250">
        <f t="shared" si="3"/>
        <v>8.6471176121169151</v>
      </c>
      <c r="P27"/>
      <c r="Q27" s="239"/>
    </row>
    <row r="28" spans="1:18" x14ac:dyDescent="0.2">
      <c r="A28"/>
      <c r="B28"/>
      <c r="C28" s="247">
        <f t="shared" si="7"/>
        <v>45839</v>
      </c>
      <c r="D28" s="248">
        <f>VLOOKUP($C28,Saisie!$C$4:$J$44,D$1,FALSE)/VLOOKUP($C$6,Saisie!$C$4:$J$44,D$1,FALSE)*100</f>
        <v>92.632036632887733</v>
      </c>
      <c r="E28" s="249">
        <f t="shared" ref="E28:E33" si="8">$E$6*D28/$D$6</f>
        <v>9.2632036632887722</v>
      </c>
      <c r="F28" s="248">
        <f>VLOOKUP($C28,Saisie!$C$4:$J$44,F$1,FALSE)/VLOOKUP($C$6,Saisie!$C$4:$J$44,F$1,FALSE)*100</f>
        <v>77.372124832119084</v>
      </c>
      <c r="G28" s="249">
        <f t="shared" ref="G28:G33" si="9">$G$6*F28/$F$6</f>
        <v>7.7372124832119082</v>
      </c>
      <c r="H28" s="248">
        <f>VLOOKUP($C28,Saisie!$C$4:$J$44,H$1,FALSE)/VLOOKUP($C$6,Saisie!$C$4:$J$44,H$1,FALSE)*100</f>
        <v>135.43492791287412</v>
      </c>
      <c r="I28" s="262">
        <f t="shared" ref="I28:I33" si="10">$I$6*H28/$H$6</f>
        <v>2.5386976393671294</v>
      </c>
      <c r="J28" s="263">
        <f>VLOOKUP($C28,Saisie!$C$4:$J$44,K$1,FALSE)/VLOOKUP($C$6,Saisie!$C$4:$J$44,K$1,FALSE)*100</f>
        <v>94.110902969910711</v>
      </c>
      <c r="K28" s="249">
        <f t="shared" ref="K28:K33" si="11">$K$6*J28/$J$6</f>
        <v>9.4110902969910715</v>
      </c>
      <c r="L28" s="248">
        <f>VLOOKUP($C28,Saisie!$C$4:$J$44,M$1,FALSE)/VLOOKUP($C$6,Saisie!$C$4:$J$44,M$1,FALSE)*100</f>
        <v>89.675227247608262</v>
      </c>
      <c r="M28" s="249">
        <f t="shared" ref="M28:M33" si="12">$M$6*L28/$L$6</f>
        <v>8.9675227247608262</v>
      </c>
      <c r="N28" s="248">
        <f>VLOOKUP($C28,Saisie!$C$4:$J$44,O$1,FALSE)/VLOOKUP($C$6,Saisie!$C$4:$J$44,O$1,FALSE)*100</f>
        <v>90.663951870964823</v>
      </c>
      <c r="O28" s="250">
        <f t="shared" ref="O28:O33" si="13">$O$6*N28/$N$6</f>
        <v>9.0663951870964823</v>
      </c>
      <c r="P28"/>
      <c r="Q28" s="239"/>
    </row>
    <row r="29" spans="1:18" x14ac:dyDescent="0.2">
      <c r="A29"/>
      <c r="B29"/>
      <c r="C29" s="247">
        <f t="shared" si="7"/>
        <v>45870</v>
      </c>
      <c r="D29" s="248">
        <f>VLOOKUP($C29,Saisie!$C$4:$J$44,D$1,FALSE)/VLOOKUP($C$6,Saisie!$C$4:$J$44,D$1,FALSE)*100</f>
        <v>93.818834554239885</v>
      </c>
      <c r="E29" s="249">
        <f t="shared" si="8"/>
        <v>9.3818834554239885</v>
      </c>
      <c r="F29" s="248">
        <f>VLOOKUP($C29,Saisie!$C$4:$J$44,F$1,FALSE)/VLOOKUP($C$6,Saisie!$C$4:$J$44,F$1,FALSE)*100</f>
        <v>77.983012323979978</v>
      </c>
      <c r="G29" s="249">
        <f t="shared" si="9"/>
        <v>7.7983012323979981</v>
      </c>
      <c r="H29" s="248">
        <f>VLOOKUP($C29,Saisie!$C$4:$J$44,H$1,FALSE)/VLOOKUP($C$6,Saisie!$C$4:$J$44,H$1,FALSE)*100</f>
        <v>127.96033815236576</v>
      </c>
      <c r="I29" s="262">
        <f t="shared" si="10"/>
        <v>2.3985881146480152</v>
      </c>
      <c r="J29" s="263">
        <f>VLOOKUP($C29,Saisie!$C$4:$J$44,K$1,FALSE)/VLOOKUP($C$6,Saisie!$C$4:$J$44,K$1,FALSE)*100</f>
        <v>94.872194935083996</v>
      </c>
      <c r="K29" s="249">
        <f t="shared" si="11"/>
        <v>9.4872194935084</v>
      </c>
      <c r="L29" s="248">
        <f>VLOOKUP($C29,Saisie!$C$4:$J$44,M$1,FALSE)/VLOOKUP($C$6,Saisie!$C$4:$J$44,M$1,FALSE)*100</f>
        <v>90.259732663307432</v>
      </c>
      <c r="M29" s="249">
        <f t="shared" si="12"/>
        <v>9.0259732663307428</v>
      </c>
      <c r="N29" s="248">
        <f>VLOOKUP($C29,Saisie!$C$4:$J$44,O$1,FALSE)/VLOOKUP($C$6,Saisie!$C$4:$J$44,O$1,FALSE)*100</f>
        <v>91.391386500168309</v>
      </c>
      <c r="O29" s="250">
        <f t="shared" si="13"/>
        <v>9.1391386500168306</v>
      </c>
      <c r="P29"/>
      <c r="Q29" s="239"/>
    </row>
    <row r="30" spans="1:18" x14ac:dyDescent="0.2">
      <c r="A30"/>
      <c r="B30"/>
      <c r="C30" s="247">
        <f t="shared" si="7"/>
        <v>45901</v>
      </c>
      <c r="D30" s="248">
        <f>VLOOKUP($C30,Saisie!$C$4:$J$44,D$1,FALSE)/VLOOKUP($C$6,Saisie!$C$4:$J$44,D$1,FALSE)*100</f>
        <v>91.801478259577436</v>
      </c>
      <c r="E30" s="249">
        <f t="shared" si="8"/>
        <v>9.1801478259577429</v>
      </c>
      <c r="F30" s="248">
        <f>VLOOKUP($C30,Saisie!$C$4:$J$44,F$1,FALSE)/VLOOKUP($C$6,Saisie!$C$4:$J$44,F$1,FALSE)*100</f>
        <v>79.316117496257618</v>
      </c>
      <c r="G30" s="249">
        <f t="shared" si="9"/>
        <v>7.9316117496257617</v>
      </c>
      <c r="H30" s="248">
        <f>VLOOKUP($C30,Saisie!$C$4:$J$44,H$1,FALSE)/VLOOKUP($C$6,Saisie!$C$4:$J$44,H$1,FALSE)*100</f>
        <v>114.46825570183863</v>
      </c>
      <c r="I30" s="262">
        <f>$I$6*H30/$H$6</f>
        <v>2.1456820261289993</v>
      </c>
      <c r="J30" s="263">
        <f>VLOOKUP($C30,Saisie!$C$4:$J$44,K$1,FALSE)/VLOOKUP($C$6,Saisie!$C$4:$J$44,K$1,FALSE)*100</f>
        <v>93.724531159401664</v>
      </c>
      <c r="K30" s="249">
        <f t="shared" si="11"/>
        <v>9.3724531159401661</v>
      </c>
      <c r="L30" s="248">
        <f>VLOOKUP($C30,Saisie!$C$4:$J$44,M$1,FALSE)/VLOOKUP($C$6,Saisie!$C$4:$J$44,M$1,FALSE)*100</f>
        <v>90.109250247817968</v>
      </c>
      <c r="M30" s="249">
        <f t="shared" si="12"/>
        <v>9.0109250247817965</v>
      </c>
      <c r="N30" s="248">
        <f>VLOOKUP($C30,Saisie!$C$4:$J$44,O$1,FALSE)/VLOOKUP($C$6,Saisie!$C$4:$J$44,O$1,FALSE)*100</f>
        <v>90.761737222544596</v>
      </c>
      <c r="O30" s="250">
        <f t="shared" si="13"/>
        <v>9.0761737222544596</v>
      </c>
      <c r="P30"/>
      <c r="Q30" s="239"/>
    </row>
    <row r="31" spans="1:18" x14ac:dyDescent="0.2">
      <c r="A31"/>
      <c r="B31"/>
      <c r="C31" s="247">
        <f t="shared" si="7"/>
        <v>45931</v>
      </c>
      <c r="D31" s="248">
        <f>VLOOKUP($C31,Saisie!$C$4:$J$44,D$1,FALSE)/VLOOKUP($C$6,Saisie!$C$4:$J$44,D$1,FALSE)*100</f>
        <v>88.821972037553465</v>
      </c>
      <c r="E31" s="249">
        <f t="shared" si="8"/>
        <v>8.8821972037553465</v>
      </c>
      <c r="F31" s="248">
        <f>VLOOKUP($C31,Saisie!$C$4:$J$44,F$1,FALSE)/VLOOKUP($C$6,Saisie!$C$4:$J$44,F$1,FALSE)*100</f>
        <v>77.361409456672334</v>
      </c>
      <c r="G31" s="249">
        <f t="shared" si="9"/>
        <v>7.7361409456672332</v>
      </c>
      <c r="H31" s="248">
        <f>VLOOKUP($C31,Saisie!$C$4:$J$44,H$1,FALSE)/VLOOKUP($C$6,Saisie!$C$4:$J$44,H$1,FALSE)*100</f>
        <v>116.02746733042679</v>
      </c>
      <c r="I31" s="262">
        <f>$I$6*H31/$H$6</f>
        <v>2.1749091017569122</v>
      </c>
      <c r="J31" s="263">
        <f>VLOOKUP($C31,Saisie!$C$4:$J$44,K$1,FALSE)/VLOOKUP($C$6,Saisie!$C$4:$J$44,K$1,FALSE)*100</f>
        <v>91.787282295657121</v>
      </c>
      <c r="K31" s="249">
        <f t="shared" si="11"/>
        <v>9.1787282295657118</v>
      </c>
      <c r="L31" s="248">
        <f>VLOOKUP($C31,Saisie!$C$4:$J$44,M$1,FALSE)/VLOOKUP($C$6,Saisie!$C$4:$J$44,M$1,FALSE)*100</f>
        <v>88.49214067263668</v>
      </c>
      <c r="M31" s="249">
        <f t="shared" si="12"/>
        <v>8.8492140672636665</v>
      </c>
      <c r="N31" s="248">
        <f>VLOOKUP($C31,Saisie!$C$4:$J$44,O$1,FALSE)/VLOOKUP($C$6,Saisie!$C$4:$J$44,O$1,FALSE)*100</f>
        <v>88.82773590057954</v>
      </c>
      <c r="O31" s="250">
        <f t="shared" si="13"/>
        <v>8.8827735900579547</v>
      </c>
      <c r="P31"/>
      <c r="Q31" s="239"/>
    </row>
    <row r="32" spans="1:18" x14ac:dyDescent="0.2">
      <c r="A32"/>
      <c r="B32"/>
      <c r="C32" s="247">
        <f t="shared" si="7"/>
        <v>45962</v>
      </c>
      <c r="D32" s="248">
        <f>VLOOKUP($C32,Saisie!$C$4:$J$44,D$1,FALSE)/VLOOKUP($C$6,Saisie!$C$4:$J$44,D$1,FALSE)*100</f>
        <v>85.350563532339265</v>
      </c>
      <c r="E32" s="249">
        <f t="shared" si="8"/>
        <v>8.5350563532339265</v>
      </c>
      <c r="F32" s="248">
        <f>VLOOKUP($C32,Saisie!$C$4:$J$44,F$1,FALSE)/VLOOKUP($C$6,Saisie!$C$4:$J$44,F$1,FALSE)*100</f>
        <v>76.14662374118474</v>
      </c>
      <c r="G32" s="249">
        <f t="shared" si="9"/>
        <v>7.614662374118474</v>
      </c>
      <c r="H32" s="248">
        <f>VLOOKUP($C32,Saisie!$C$4:$J$44,H$1,FALSE)/VLOOKUP($C$6,Saisie!$C$4:$J$44,H$1,FALSE)*100</f>
        <v>106.66272326177331</v>
      </c>
      <c r="I32" s="262">
        <f t="shared" si="10"/>
        <v>1.9993690543943736</v>
      </c>
      <c r="J32" s="263">
        <f>VLOOKUP($C32,Saisie!$C$4:$J$44,K$1,FALSE)/VLOOKUP($C$6,Saisie!$C$4:$J$44,K$1,FALSE)*100</f>
        <v>89.595804188250426</v>
      </c>
      <c r="K32" s="249">
        <f t="shared" si="11"/>
        <v>8.959580418825043</v>
      </c>
      <c r="L32" s="248">
        <f>VLOOKUP($C32,Saisie!$C$4:$J$44,M$1,FALSE)/VLOOKUP($C$6,Saisie!$C$4:$J$44,M$1,FALSE)*100</f>
        <v>86.985823591702598</v>
      </c>
      <c r="M32" s="249">
        <f t="shared" si="12"/>
        <v>8.6985823591702598</v>
      </c>
      <c r="N32" s="248">
        <f>VLOOKUP($C32,Saisie!$C$4:$J$44,O$1,FALSE)/VLOOKUP($C$6,Saisie!$C$4:$J$44,O$1,FALSE)*100</f>
        <v>86.846367324654565</v>
      </c>
      <c r="O32" s="250">
        <f t="shared" si="13"/>
        <v>8.6846367324654565</v>
      </c>
      <c r="P32"/>
      <c r="Q32" s="239"/>
    </row>
    <row r="33" spans="1:19" ht="13.5" thickBot="1" x14ac:dyDescent="0.25">
      <c r="A33"/>
      <c r="B33"/>
      <c r="C33" s="251">
        <f t="shared" si="7"/>
        <v>45992</v>
      </c>
      <c r="D33" s="252">
        <f>VLOOKUP($C33,Saisie!$C$4:$J$44,D$1,FALSE)/VLOOKUP($C$6,Saisie!$C$4:$J$44,D$1,FALSE)*100</f>
        <v>88.101231826538779</v>
      </c>
      <c r="E33" s="253">
        <f t="shared" si="8"/>
        <v>8.8101231826538768</v>
      </c>
      <c r="F33" s="252">
        <f>VLOOKUP($C33,Saisie!$C$4:$J$44,F$1,FALSE)/VLOOKUP($C$6,Saisie!$C$4:$J$44,F$1,FALSE)*100</f>
        <v>77.607332292820885</v>
      </c>
      <c r="G33" s="253">
        <f t="shared" si="9"/>
        <v>7.7607332292820885</v>
      </c>
      <c r="H33" s="252">
        <f>VLOOKUP($C33,Saisie!$C$4:$J$44,H$1,FALSE)/VLOOKUP($C$6,Saisie!$C$4:$J$44,H$1,FALSE)*100</f>
        <v>101.09597933313145</v>
      </c>
      <c r="I33" s="264">
        <f t="shared" si="10"/>
        <v>1.8950216760009968</v>
      </c>
      <c r="J33" s="265">
        <f>VLOOKUP($C33,Saisie!$C$4:$J$44,K$1,FALSE)/VLOOKUP($C$6,Saisie!$C$4:$J$44,K$1,FALSE)*100</f>
        <v>91.363035965660018</v>
      </c>
      <c r="K33" s="253">
        <f t="shared" si="11"/>
        <v>9.1363035965660018</v>
      </c>
      <c r="L33" s="252">
        <f>VLOOKUP($C33,Saisie!$C$4:$J$44,M$1,FALSE)/VLOOKUP($C$6,Saisie!$C$4:$J$44,M$1,FALSE)*100</f>
        <v>88.356486003477727</v>
      </c>
      <c r="M33" s="253">
        <f t="shared" si="12"/>
        <v>8.8356486003477723</v>
      </c>
      <c r="N33" s="252">
        <f>VLOOKUP($C33,Saisie!$C$4:$J$44,O$1,FALSE)/VLOOKUP($C$6,Saisie!$C$4:$J$44,O$1,FALSE)*100</f>
        <v>88.543833681710922</v>
      </c>
      <c r="O33" s="254">
        <f t="shared" si="13"/>
        <v>8.8543833681710922</v>
      </c>
      <c r="P33"/>
      <c r="Q33" s="239"/>
    </row>
    <row r="34" spans="1:19" ht="13.5" thickBot="1" x14ac:dyDescent="0.25">
      <c r="A34"/>
      <c r="B34"/>
      <c r="C34" s="266" t="s">
        <v>112</v>
      </c>
      <c r="D34" s="1"/>
      <c r="E34" s="267"/>
      <c r="F34" s="1"/>
      <c r="G34" s="267"/>
      <c r="H34" s="1"/>
      <c r="I34" s="268"/>
      <c r="J34" s="1"/>
      <c r="K34" s="267"/>
      <c r="L34" s="1"/>
      <c r="M34" s="267"/>
      <c r="N34" s="1"/>
      <c r="O34" s="267"/>
      <c r="P34"/>
      <c r="Q34" s="239"/>
    </row>
    <row r="35" spans="1:19" ht="27" customHeight="1" thickBot="1" x14ac:dyDescent="0.25">
      <c r="A35"/>
      <c r="B35"/>
      <c r="C35" s="138" t="s">
        <v>78</v>
      </c>
      <c r="D35" s="245"/>
      <c r="E35" s="222" t="s">
        <v>6</v>
      </c>
      <c r="F35" s="246"/>
      <c r="G35" s="222" t="s">
        <v>6</v>
      </c>
      <c r="H35" s="246"/>
      <c r="I35" s="342" t="s">
        <v>118</v>
      </c>
      <c r="J35" s="246"/>
      <c r="K35" s="222" t="s">
        <v>6</v>
      </c>
      <c r="L35" s="246"/>
      <c r="M35" s="222" t="s">
        <v>6</v>
      </c>
      <c r="N35" s="246"/>
      <c r="O35" s="223" t="s">
        <v>6</v>
      </c>
      <c r="P35"/>
      <c r="Q35" s="239"/>
    </row>
    <row r="36" spans="1:19" s="156" customFormat="1" ht="15" customHeight="1" thickTop="1" x14ac:dyDescent="0.2">
      <c r="A36" s="22"/>
      <c r="B36" s="22"/>
      <c r="C36" s="269" t="str">
        <f>"T1- "&amp;YEAR(C11)</f>
        <v>T1- 2024</v>
      </c>
      <c r="D36" s="270">
        <f>AVERAGE(D9:D11)</f>
        <v>79.239648956702226</v>
      </c>
      <c r="E36" s="271">
        <f>$E$6*D36/$D$6</f>
        <v>7.9239648956702231</v>
      </c>
      <c r="F36" s="270">
        <f>AVERAGE(F9:F11)</f>
        <v>86.242322913324202</v>
      </c>
      <c r="G36" s="271">
        <f>$G$6*F36/$F$6</f>
        <v>8.6242322913324205</v>
      </c>
      <c r="H36" s="270">
        <f>AVERAGE(H9:H11)</f>
        <v>98.53876021812431</v>
      </c>
      <c r="I36" s="363">
        <v>1.8415170270534347</v>
      </c>
      <c r="J36" s="270">
        <f>AVERAGE(J9:J11)</f>
        <v>86.493292732301072</v>
      </c>
      <c r="K36" s="271">
        <f>$K$6*J36/$J$6</f>
        <v>8.6493292732301068</v>
      </c>
      <c r="L36" s="270">
        <f>AVERAGE(L9:L11)</f>
        <v>88.683442687505774</v>
      </c>
      <c r="M36" s="271">
        <f>$M$6*L36/$L$6</f>
        <v>8.8683442687505778</v>
      </c>
      <c r="N36" s="270">
        <f>AVERAGE(N9:N11)</f>
        <v>86.489159401790047</v>
      </c>
      <c r="O36" s="272">
        <f>$O$6*N36/$N$6</f>
        <v>8.6489159401790054</v>
      </c>
      <c r="P36" s="22"/>
      <c r="Q36" s="273"/>
    </row>
    <row r="37" spans="1:19" s="156" customFormat="1" ht="15" customHeight="1" x14ac:dyDescent="0.2">
      <c r="A37" s="22"/>
      <c r="B37" s="22"/>
      <c r="C37" s="274" t="str">
        <f>"T2- "&amp;YEAR(C14)</f>
        <v>T2- 2024</v>
      </c>
      <c r="D37" s="275">
        <f>AVERAGE(D12:D14)</f>
        <v>78.147190561159462</v>
      </c>
      <c r="E37" s="276">
        <f>$E$6*D37/$D$6</f>
        <v>7.8147190561159459</v>
      </c>
      <c r="F37" s="275">
        <f>AVERAGE(F12:F14)</f>
        <v>84.798946177359696</v>
      </c>
      <c r="G37" s="276">
        <f>$G$6*F37/$F$6</f>
        <v>8.4798946177359706</v>
      </c>
      <c r="H37" s="275">
        <f>AVERAGE(H12:H14)</f>
        <v>111.08915249676291</v>
      </c>
      <c r="I37" s="362">
        <v>2.0797218620704498</v>
      </c>
      <c r="J37" s="275">
        <f>AVERAGE(J12:J14)</f>
        <v>85.738125303839752</v>
      </c>
      <c r="K37" s="276">
        <f>$K$6*J37/$J$6</f>
        <v>8.5738125303839752</v>
      </c>
      <c r="L37" s="275">
        <f>AVERAGE(L12:L14)</f>
        <v>87.832184831996244</v>
      </c>
      <c r="M37" s="276">
        <f>$M$6*L37/$L$6</f>
        <v>8.7832184831996241</v>
      </c>
      <c r="N37" s="275">
        <f>AVERAGE(N12:N14)</f>
        <v>85.594089668260423</v>
      </c>
      <c r="O37" s="277">
        <f>$O$6*N37/$N$6</f>
        <v>8.5594089668260427</v>
      </c>
      <c r="P37" s="22"/>
      <c r="Q37" s="273"/>
    </row>
    <row r="38" spans="1:19" s="156" customFormat="1" ht="15" customHeight="1" x14ac:dyDescent="0.2">
      <c r="A38" s="22"/>
      <c r="B38" s="22"/>
      <c r="C38" s="274" t="str">
        <f>"T3- "&amp;YEAR(C17)</f>
        <v>T3- 2024</v>
      </c>
      <c r="D38" s="275">
        <f>AVERAGE(D15:D17)</f>
        <v>74.466819610842052</v>
      </c>
      <c r="E38" s="276">
        <f>$E$6*D38/$D$6</f>
        <v>7.446681961084205</v>
      </c>
      <c r="F38" s="275">
        <f>AVERAGE(F15:F17)</f>
        <v>89.002977949661954</v>
      </c>
      <c r="G38" s="276">
        <f>$G$6*F38/$F$6</f>
        <v>8.9002977949661961</v>
      </c>
      <c r="H38" s="275">
        <f>AVERAGE(H15:H17)</f>
        <v>110.88253489932845</v>
      </c>
      <c r="I38" s="361">
        <v>2.0763791592389382</v>
      </c>
      <c r="J38" s="275">
        <f>AVERAGE(J15:J17)</f>
        <v>83.753773105480036</v>
      </c>
      <c r="K38" s="276">
        <f>$K$6*J38/$J$6</f>
        <v>8.3753773105480036</v>
      </c>
      <c r="L38" s="275">
        <f>AVERAGE(L15:L17)</f>
        <v>88.187593993353786</v>
      </c>
      <c r="M38" s="276">
        <f>$M$6*L38/$L$6</f>
        <v>8.818759399335379</v>
      </c>
      <c r="N38" s="275">
        <f>AVERAGE(N15:N17)</f>
        <v>84.898833628359611</v>
      </c>
      <c r="O38" s="277">
        <f>$O$6*N38/$N$6</f>
        <v>8.4898833628359611</v>
      </c>
      <c r="P38" s="22"/>
      <c r="Q38" s="273"/>
    </row>
    <row r="39" spans="1:19" s="156" customFormat="1" ht="15" customHeight="1" thickBot="1" x14ac:dyDescent="0.25">
      <c r="A39" s="22"/>
      <c r="B39" s="22"/>
      <c r="C39" s="278" t="str">
        <f>"T4- "&amp;YEAR(C20)</f>
        <v>T4- 2024</v>
      </c>
      <c r="D39" s="279">
        <f>AVERAGE(D18:D20)</f>
        <v>79.267346016182572</v>
      </c>
      <c r="E39" s="280">
        <f>$E$6*D39/$D$6</f>
        <v>7.9267346016182572</v>
      </c>
      <c r="F39" s="279">
        <f>AVERAGE(F18:F20)</f>
        <v>76.183033369217966</v>
      </c>
      <c r="G39" s="280">
        <f>$G$6*F39/$F$6</f>
        <v>7.6183033369217972</v>
      </c>
      <c r="H39" s="279">
        <f>AVERAGE(H18:H20)</f>
        <v>108.22614393304315</v>
      </c>
      <c r="I39" s="288">
        <f>$I$6*H39/$H$6</f>
        <v>2.0286750275923939</v>
      </c>
      <c r="J39" s="279">
        <f>AVERAGE(J18:J20)</f>
        <v>85.889173624335228</v>
      </c>
      <c r="K39" s="280">
        <f>$K$6*J39/$J$6</f>
        <v>8.5889173624335236</v>
      </c>
      <c r="L39" s="279">
        <f>AVERAGE(L18:L20)</f>
        <v>85.115912114451746</v>
      </c>
      <c r="M39" s="280">
        <f>$M$6*L39/$L$6</f>
        <v>8.5115912114451753</v>
      </c>
      <c r="N39" s="279">
        <f>AVERAGE(N18:N20)</f>
        <v>83.928327141481915</v>
      </c>
      <c r="O39" s="281">
        <f>$O$6*N39/$N$6</f>
        <v>8.3928327141481915</v>
      </c>
      <c r="P39" s="22"/>
      <c r="Q39" s="273"/>
    </row>
    <row r="40" spans="1:19" ht="9.75" customHeight="1" thickBot="1" x14ac:dyDescent="0.25">
      <c r="A40"/>
      <c r="B40"/>
      <c r="C40" s="255"/>
      <c r="D40" s="255"/>
      <c r="E40" s="255"/>
      <c r="F40" s="255"/>
      <c r="G40" s="255"/>
      <c r="H40" s="255"/>
      <c r="I40" s="255"/>
      <c r="J40" s="255"/>
      <c r="K40" s="255"/>
      <c r="L40" s="255"/>
      <c r="M40" s="255"/>
      <c r="N40" s="255"/>
      <c r="O40" s="255"/>
      <c r="P40"/>
      <c r="Q40" s="239"/>
    </row>
    <row r="41" spans="1:19" s="156" customFormat="1" ht="15" customHeight="1" x14ac:dyDescent="0.2">
      <c r="A41" s="22"/>
      <c r="B41" s="22"/>
      <c r="C41" s="282" t="str">
        <f>"T1- "&amp;YEAR(C24)</f>
        <v>T1- 2025</v>
      </c>
      <c r="D41" s="283">
        <f>AVERAGE(D22:D24)</f>
        <v>83.312384665440973</v>
      </c>
      <c r="E41" s="284">
        <f>$E$6*D41/$D$6</f>
        <v>8.3312384665440966</v>
      </c>
      <c r="F41" s="283">
        <f>AVERAGE(F22:F24)</f>
        <v>73.032547359539549</v>
      </c>
      <c r="G41" s="284">
        <f>$G$6*F41/$F$6</f>
        <v>7.3032547359539546</v>
      </c>
      <c r="H41" s="283">
        <f>AVERAGE(H22:H24)</f>
        <v>104.12423992489488</v>
      </c>
      <c r="I41" s="285">
        <f>$I$6*H41/$H$6</f>
        <v>1.9517857481216239</v>
      </c>
      <c r="J41" s="283">
        <f>AVERAGE(J22:J24)</f>
        <v>88.160900332286516</v>
      </c>
      <c r="K41" s="284">
        <f>$K$6*J41/$J$6</f>
        <v>8.8160900332286527</v>
      </c>
      <c r="L41" s="283">
        <f>AVERAGE(L22:L24)</f>
        <v>85.247911787079275</v>
      </c>
      <c r="M41" s="284">
        <f>$M$6*L41/$L$6</f>
        <v>8.5247911787079271</v>
      </c>
      <c r="N41" s="283">
        <f>AVERAGE(N22:N24)</f>
        <v>85.068669204205079</v>
      </c>
      <c r="O41" s="286">
        <f>$O$6*N41/$N$6</f>
        <v>8.5068669204205083</v>
      </c>
      <c r="P41" s="22"/>
      <c r="Q41" s="273"/>
    </row>
    <row r="42" spans="1:19" s="156" customFormat="1" ht="15" customHeight="1" x14ac:dyDescent="0.2">
      <c r="A42" s="22"/>
      <c r="B42" s="22"/>
      <c r="C42" s="274" t="str">
        <f>"T2- "&amp;YEAR(C27)</f>
        <v>T2- 2025</v>
      </c>
      <c r="D42" s="275">
        <f>AVERAGE(D25:D27)</f>
        <v>85.673406488491537</v>
      </c>
      <c r="E42" s="276">
        <f>$E$6*D42/$D$6</f>
        <v>8.5673406488491537</v>
      </c>
      <c r="F42" s="275">
        <f>AVERAGE(F25:F27)</f>
        <v>75.571912812196885</v>
      </c>
      <c r="G42" s="276">
        <f>$G$6*F42/$F$6</f>
        <v>7.5571912812196889</v>
      </c>
      <c r="H42" s="275">
        <f>AVERAGE(H25:H27)</f>
        <v>117.36084170683063</v>
      </c>
      <c r="I42" s="287">
        <f>$I$6*H42/$H$6</f>
        <v>2.1999029082581911</v>
      </c>
      <c r="J42" s="275">
        <f>AVERAGE(J25:J27)</f>
        <v>89.75715886314606</v>
      </c>
      <c r="K42" s="276">
        <f>$K$6*J42/$J$6</f>
        <v>8.9757158863146067</v>
      </c>
      <c r="L42" s="275">
        <f>AVERAGE(L25:L27)</f>
        <v>86.881437549300202</v>
      </c>
      <c r="M42" s="276">
        <f>$M$6*L42/$L$6</f>
        <v>8.6881437549300191</v>
      </c>
      <c r="N42" s="275">
        <f>AVERAGE(N25:N27)</f>
        <v>86.854657492964563</v>
      </c>
      <c r="O42" s="277">
        <f>$O$6*N42/$N$6</f>
        <v>8.6854657492964567</v>
      </c>
      <c r="P42" s="22"/>
      <c r="Q42" s="273"/>
    </row>
    <row r="43" spans="1:19" s="156" customFormat="1" ht="15" customHeight="1" x14ac:dyDescent="0.2">
      <c r="A43" s="22"/>
      <c r="B43" s="22"/>
      <c r="C43" s="274" t="str">
        <f>"T3- "&amp;YEAR(C30)</f>
        <v>T3- 2025</v>
      </c>
      <c r="D43" s="275">
        <f>AVERAGE(D28:D30)</f>
        <v>92.750783148901689</v>
      </c>
      <c r="E43" s="276">
        <f>$E$6*D43/$D$6</f>
        <v>9.2750783148901697</v>
      </c>
      <c r="F43" s="275">
        <f>AVERAGE(F28:F30)</f>
        <v>78.223751550785565</v>
      </c>
      <c r="G43" s="276">
        <f>$G$6*F43/$F$6</f>
        <v>7.8223751550785563</v>
      </c>
      <c r="H43" s="275">
        <f>AVERAGE(H28:H30)</f>
        <v>125.95450725569283</v>
      </c>
      <c r="I43" s="287">
        <f>$I$6*H43/$H$6</f>
        <v>2.360989260048048</v>
      </c>
      <c r="J43" s="275">
        <f>AVERAGE(J28:J30)</f>
        <v>94.235876354798791</v>
      </c>
      <c r="K43" s="276">
        <f>$K$6*J43/$J$6</f>
        <v>9.4235876354798798</v>
      </c>
      <c r="L43" s="275">
        <f>AVERAGE(L28:L30)</f>
        <v>90.014736719577897</v>
      </c>
      <c r="M43" s="276">
        <f>$M$6*L43/$L$6</f>
        <v>9.0014736719577897</v>
      </c>
      <c r="N43" s="275">
        <f>AVERAGE(N28:N30)</f>
        <v>90.939025197892576</v>
      </c>
      <c r="O43" s="277">
        <f>$O$6*N43/$N$6</f>
        <v>9.0939025197892587</v>
      </c>
      <c r="P43" s="22"/>
      <c r="Q43" s="273"/>
    </row>
    <row r="44" spans="1:19" s="156" customFormat="1" ht="15" customHeight="1" thickBot="1" x14ac:dyDescent="0.25">
      <c r="A44" s="22"/>
      <c r="B44" s="22"/>
      <c r="C44" s="278" t="str">
        <f>"T4- "&amp;YEAR(C33)</f>
        <v>T4- 2025</v>
      </c>
      <c r="D44" s="279">
        <f>AVERAGE(D31:D33)</f>
        <v>87.424589132143822</v>
      </c>
      <c r="E44" s="280">
        <f>$E$6*D44/$D$6</f>
        <v>8.7424589132143815</v>
      </c>
      <c r="F44" s="279">
        <f>AVERAGE(F31:F33)</f>
        <v>77.03845516355932</v>
      </c>
      <c r="G44" s="280">
        <f>$G$6*F44/$F$6</f>
        <v>7.7038455163559316</v>
      </c>
      <c r="H44" s="279">
        <f>AVERAGE(H31:H33)</f>
        <v>107.92872330844386</v>
      </c>
      <c r="I44" s="288">
        <f>$I$6*H44/$H$6</f>
        <v>2.0230999440507613</v>
      </c>
      <c r="J44" s="279">
        <f>AVERAGE(J31:J33)</f>
        <v>90.91537414985585</v>
      </c>
      <c r="K44" s="280">
        <f>$K$6*J44/$J$6</f>
        <v>9.0915374149855843</v>
      </c>
      <c r="L44" s="279">
        <f>AVERAGE(L31:L33)</f>
        <v>87.944816755939016</v>
      </c>
      <c r="M44" s="280">
        <f>$M$6*L44/$L$6</f>
        <v>8.7944816755939019</v>
      </c>
      <c r="N44" s="279">
        <f>AVERAGE(N31:N33)</f>
        <v>88.072645635648328</v>
      </c>
      <c r="O44" s="281">
        <f>$O$6*N44/$N$6</f>
        <v>8.8072645635648321</v>
      </c>
      <c r="P44" s="22"/>
      <c r="Q44" s="273"/>
    </row>
    <row r="45" spans="1:19" ht="12" customHeight="1" thickBot="1" x14ac:dyDescent="0.25">
      <c r="A45"/>
      <c r="B45"/>
      <c r="C45"/>
      <c r="D45"/>
      <c r="E45"/>
      <c r="F45"/>
      <c r="G45"/>
      <c r="H45"/>
      <c r="I45"/>
      <c r="J45"/>
      <c r="K45"/>
      <c r="L45"/>
      <c r="M45"/>
      <c r="N45"/>
      <c r="O45"/>
      <c r="P45"/>
      <c r="Q45" s="239"/>
    </row>
    <row r="46" spans="1:19" ht="27" customHeight="1" thickBot="1" x14ac:dyDescent="0.25">
      <c r="A46"/>
      <c r="B46"/>
      <c r="C46" s="138" t="s">
        <v>77</v>
      </c>
      <c r="D46" s="245"/>
      <c r="E46" s="222" t="s">
        <v>6</v>
      </c>
      <c r="F46" s="246"/>
      <c r="G46" s="222" t="s">
        <v>6</v>
      </c>
      <c r="H46" s="246"/>
      <c r="I46" s="342" t="s">
        <v>118</v>
      </c>
      <c r="J46" s="246"/>
      <c r="K46" s="222" t="s">
        <v>6</v>
      </c>
      <c r="L46" s="246"/>
      <c r="M46" s="222" t="s">
        <v>6</v>
      </c>
      <c r="N46" s="246"/>
      <c r="O46" s="223" t="s">
        <v>6</v>
      </c>
      <c r="P46"/>
      <c r="Q46" s="239"/>
    </row>
    <row r="47" spans="1:19" s="295" customFormat="1" ht="17.100000000000001" customHeight="1" thickTop="1" x14ac:dyDescent="0.25">
      <c r="A47" s="289"/>
      <c r="B47" s="289"/>
      <c r="C47" s="290">
        <f>YEAR(C20)</f>
        <v>2024</v>
      </c>
      <c r="D47" s="291">
        <f ca="1">VLOOKUP($C47,Saisie!$C$4:$J$44,D$1,FALSE)/VLOOKUP($C$6,Saisie!$C$4:$J$44,D$1,FALSE)*100</f>
        <v>77.780251286221585</v>
      </c>
      <c r="E47" s="292">
        <f ca="1">$E$6*D47/$D$6</f>
        <v>7.7780251286221587</v>
      </c>
      <c r="F47" s="291">
        <f ca="1">VLOOKUP($C47,Saisie!$C$4:$J$44,F$1,FALSE)/VLOOKUP($C$6,Saisie!$C$4:$J$44,F$1,FALSE)*100</f>
        <v>84.056820102390944</v>
      </c>
      <c r="G47" s="292">
        <f ca="1">$G$6*F47/$F$6</f>
        <v>8.4056820102390937</v>
      </c>
      <c r="H47" s="291">
        <f ca="1">VLOOKUP($C47,Saisie!$C$4:$J$44,H$1,FALSE)/VLOOKUP($C$6,Saisie!$C$4:$J$44,H$1,FALSE)*100</f>
        <v>107.1841478868147</v>
      </c>
      <c r="I47" s="343">
        <f ca="1">$I$6*H47/$H$6</f>
        <v>2.0091430431659556</v>
      </c>
      <c r="J47" s="291">
        <f ca="1">VLOOKUP($C47,Saisie!$C$4:$J$44,K$1,FALSE)/VLOOKUP($C$6,Saisie!$C$4:$J$44,K$1,FALSE)*100</f>
        <v>85.468591191489026</v>
      </c>
      <c r="K47" s="292">
        <f ca="1">$K$6*J47/$J$6</f>
        <v>8.5468591191489036</v>
      </c>
      <c r="L47" s="291">
        <f ca="1">VLOOKUP($C47,Saisie!$C$4:$J$44,M$1,FALSE)/VLOOKUP($C$6,Saisie!$C$4:$J$44,M$1,FALSE)*100</f>
        <v>87.454783406826891</v>
      </c>
      <c r="M47" s="292">
        <f ca="1">$M$6*L47/$L$6</f>
        <v>8.7454783406826895</v>
      </c>
      <c r="N47" s="291">
        <f ca="1">VLOOKUP($C47,Saisie!$C$4:$J$44,O$1,FALSE)/VLOOKUP($C$6,Saisie!$C$4:$J$44,O$1,FALSE)*100</f>
        <v>85.227602459972971</v>
      </c>
      <c r="O47" s="293">
        <f ca="1">$O$6*N47/$N$6</f>
        <v>8.5227602459972971</v>
      </c>
      <c r="P47" s="289"/>
      <c r="Q47" s="273"/>
      <c r="R47" s="294"/>
      <c r="S47" s="352"/>
    </row>
    <row r="48" spans="1:19" s="295" customFormat="1" ht="17.100000000000001" customHeight="1" thickBot="1" x14ac:dyDescent="0.3">
      <c r="A48" s="289"/>
      <c r="B48" s="289"/>
      <c r="C48" s="296">
        <f>YEAR(C33)</f>
        <v>2025</v>
      </c>
      <c r="D48" s="297">
        <f ca="1">VLOOKUP($C48,Saisie!$C$4:$J$44,D$1,FALSE)/VLOOKUP($C$6,Saisie!$C$4:$J$44,D$1,FALSE)*100</f>
        <v>87.290290858744498</v>
      </c>
      <c r="E48" s="298">
        <f ca="1">$E$6*D48/$D$6</f>
        <v>8.7290290858744495</v>
      </c>
      <c r="F48" s="297">
        <f ca="1">VLOOKUP($C48,Saisie!$C$4:$J$44,F$1,FALSE)/VLOOKUP($C$6,Saisie!$C$4:$J$44,F$1,FALSE)*100</f>
        <v>75.966666721520326</v>
      </c>
      <c r="G48" s="298">
        <f ca="1">$G$6*F48/$F$6</f>
        <v>7.5966666721520326</v>
      </c>
      <c r="H48" s="297">
        <f ca="1">VLOOKUP($C48,Saisie!$C$4:$J$44,H$1,FALSE)/VLOOKUP($C$6,Saisie!$C$4:$J$44,H$1,FALSE)*100</f>
        <v>113.84207804896556</v>
      </c>
      <c r="I48" s="299">
        <f ca="1">$I$6*H48/$H$6</f>
        <v>2.1339444651196562</v>
      </c>
      <c r="J48" s="297">
        <f ca="1">VLOOKUP($C48,Saisie!$C$4:$J$44,K$1,FALSE)/VLOOKUP($C$6,Saisie!$C$4:$J$44,K$1,FALSE)*100</f>
        <v>90.767327425021804</v>
      </c>
      <c r="K48" s="298">
        <f ca="1">$K$6*J48/$J$6</f>
        <v>9.0767327425021804</v>
      </c>
      <c r="L48" s="297">
        <f ca="1">VLOOKUP($C48,Saisie!$C$4:$J$44,M$1,FALSE)/VLOOKUP($C$6,Saisie!$C$4:$J$44,M$1,FALSE)*100</f>
        <v>87.522225702974083</v>
      </c>
      <c r="M48" s="298">
        <f ca="1">$M$6*L48/$L$6</f>
        <v>8.752222570297409</v>
      </c>
      <c r="N48" s="297">
        <f ca="1">VLOOKUP($C48,Saisie!$C$4:$J$44,O$1,FALSE)/VLOOKUP($C$6,Saisie!$C$4:$J$44,O$1,FALSE)*100</f>
        <v>87.733749382677644</v>
      </c>
      <c r="O48" s="300">
        <f ca="1">$O$6*N48/$N$6</f>
        <v>8.7733749382677644</v>
      </c>
      <c r="P48" s="289"/>
      <c r="Q48" s="239"/>
      <c r="R48" s="294"/>
      <c r="S48" s="352"/>
    </row>
    <row r="49" spans="1:18" ht="38.1" customHeight="1" x14ac:dyDescent="0.2">
      <c r="A49"/>
      <c r="B49"/>
      <c r="C49" s="393" t="s">
        <v>122</v>
      </c>
      <c r="D49" s="393"/>
      <c r="E49" s="393"/>
      <c r="F49" s="393"/>
      <c r="G49" s="393"/>
      <c r="H49" s="393"/>
      <c r="I49" s="393"/>
      <c r="J49" s="393"/>
      <c r="K49" s="393"/>
      <c r="L49" s="393"/>
      <c r="M49" s="393"/>
      <c r="N49" s="393"/>
      <c r="O49" s="393"/>
      <c r="P49" s="394"/>
      <c r="Q49" s="239"/>
      <c r="R49" s="301"/>
    </row>
    <row r="50" spans="1:18" ht="30" customHeight="1" x14ac:dyDescent="0.2">
      <c r="A50"/>
      <c r="B50"/>
      <c r="C50" s="395" t="s">
        <v>123</v>
      </c>
      <c r="D50" s="395"/>
      <c r="E50" s="395"/>
      <c r="F50" s="395"/>
      <c r="G50" s="395"/>
      <c r="H50" s="395"/>
      <c r="I50" s="395"/>
      <c r="J50" s="395"/>
      <c r="K50" s="395"/>
      <c r="L50" s="395"/>
      <c r="M50" s="395"/>
      <c r="N50" s="395"/>
      <c r="O50" s="395"/>
      <c r="P50" s="395"/>
      <c r="Q50"/>
      <c r="R50" s="301"/>
    </row>
    <row r="51" spans="1:18" ht="13.5" customHeight="1" thickBot="1" x14ac:dyDescent="0.25">
      <c r="A51"/>
      <c r="B51"/>
      <c r="C51" s="398"/>
      <c r="D51" s="398"/>
      <c r="E51" s="398"/>
      <c r="F51" s="398"/>
      <c r="G51" s="398"/>
      <c r="H51" s="398"/>
      <c r="I51" s="398"/>
      <c r="J51" s="398"/>
      <c r="K51" s="398"/>
      <c r="L51" s="398"/>
      <c r="M51" s="398"/>
      <c r="N51" s="398"/>
      <c r="O51" s="398"/>
      <c r="P51" s="398"/>
      <c r="Q51"/>
      <c r="R51" s="301"/>
    </row>
    <row r="52" spans="1:18" ht="13.5" thickBot="1" x14ac:dyDescent="0.25">
      <c r="A52"/>
      <c r="B52"/>
      <c r="C52" s="386" t="s">
        <v>7</v>
      </c>
      <c r="D52" s="386"/>
      <c r="E52" s="386"/>
      <c r="F52" s="386"/>
      <c r="G52" s="387"/>
      <c r="H52" s="302">
        <f>Saisie!O17</f>
        <v>-0.15325849592604879</v>
      </c>
      <c r="I52" s="303" t="str">
        <f>C6+1&amp;"/"&amp;C6</f>
        <v>2024/2023</v>
      </c>
      <c r="J52" s="304"/>
      <c r="K52" s="1"/>
      <c r="L52" s="383" t="s">
        <v>37</v>
      </c>
      <c r="M52" s="384"/>
      <c r="N52" s="384"/>
      <c r="O52" s="385"/>
      <c r="P52" s="267"/>
      <c r="Q52"/>
      <c r="R52" s="301"/>
    </row>
    <row r="53" spans="1:18" ht="13.5" thickBot="1" x14ac:dyDescent="0.25">
      <c r="A53"/>
      <c r="B53"/>
      <c r="C53" s="386" t="s">
        <v>7</v>
      </c>
      <c r="D53" s="386"/>
      <c r="E53" s="386"/>
      <c r="F53" s="386"/>
      <c r="G53" s="387"/>
      <c r="H53" s="305">
        <f>Saisie!P17</f>
        <v>-0.12816135273270368</v>
      </c>
      <c r="I53" s="306" t="str">
        <f>C6+2&amp;"/"&amp;C6</f>
        <v>2025/2023</v>
      </c>
      <c r="J53" s="304"/>
      <c r="K53" s="1"/>
      <c r="L53" s="307">
        <f>C6+1</f>
        <v>2024</v>
      </c>
      <c r="M53" s="308">
        <f>VLOOKUP(L53,Saisie!$C$6:$J$8,8,TRUE)</f>
        <v>1.3643293955257894</v>
      </c>
      <c r="N53" s="388" t="s">
        <v>38</v>
      </c>
      <c r="O53" s="388"/>
      <c r="P53" s="267"/>
      <c r="Q53"/>
    </row>
    <row r="54" spans="1:18" ht="13.5" thickBot="1" x14ac:dyDescent="0.25">
      <c r="A54"/>
      <c r="B54"/>
      <c r="C54" s="309"/>
      <c r="D54" s="1"/>
      <c r="E54" s="267"/>
      <c r="F54" s="1"/>
      <c r="G54" s="310"/>
      <c r="H54" s="311"/>
      <c r="I54" s="312"/>
      <c r="J54" s="312"/>
      <c r="K54" s="1"/>
      <c r="L54" s="313">
        <f>L53+1</f>
        <v>2025</v>
      </c>
      <c r="M54" s="314">
        <f>VLOOKUP(L54,Saisie!$C$6:$J$8,8,TRUE)</f>
        <v>1.3799448022079124</v>
      </c>
      <c r="N54" s="389" t="s">
        <v>38</v>
      </c>
      <c r="O54" s="390"/>
      <c r="P54" s="267"/>
      <c r="Q54"/>
    </row>
    <row r="55" spans="1:18" hidden="1" x14ac:dyDescent="0.2">
      <c r="A55"/>
      <c r="B55"/>
      <c r="C55"/>
      <c r="D55"/>
      <c r="E55"/>
      <c r="F55"/>
      <c r="G55"/>
      <c r="H55"/>
      <c r="I55"/>
      <c r="J55"/>
      <c r="K55"/>
      <c r="L55"/>
      <c r="M55"/>
      <c r="N55"/>
      <c r="O55"/>
      <c r="P55"/>
      <c r="Q55"/>
    </row>
    <row r="56" spans="1:18" hidden="1" x14ac:dyDescent="0.2">
      <c r="A56"/>
      <c r="B56"/>
      <c r="C56"/>
      <c r="D56"/>
      <c r="E56"/>
      <c r="F56"/>
      <c r="G56"/>
      <c r="H56"/>
      <c r="I56"/>
      <c r="J56"/>
      <c r="K56"/>
      <c r="L56"/>
      <c r="M56"/>
      <c r="N56"/>
      <c r="O56"/>
      <c r="P56"/>
      <c r="Q56"/>
    </row>
    <row r="57" spans="1:18" ht="15.6" customHeight="1" x14ac:dyDescent="0.25">
      <c r="A57"/>
      <c r="B57"/>
      <c r="C57" s="364" t="s">
        <v>127</v>
      </c>
      <c r="D57" s="315"/>
      <c r="E57" s="316"/>
      <c r="F57" s="317"/>
      <c r="G57" s="318"/>
      <c r="H57" s="317"/>
      <c r="I57" s="319"/>
      <c r="J57" s="319"/>
      <c r="K57" s="317"/>
      <c r="L57" s="315"/>
      <c r="M57" s="316"/>
      <c r="N57" s="317"/>
      <c r="O57" s="318"/>
      <c r="P57" s="317"/>
      <c r="Q57"/>
    </row>
    <row r="58" spans="1:18" ht="21" customHeight="1" thickBot="1" x14ac:dyDescent="0.25">
      <c r="A58"/>
      <c r="B58"/>
      <c r="C58" s="320">
        <f>C47</f>
        <v>2024</v>
      </c>
      <c r="D58" s="1"/>
      <c r="E58" s="321" t="s">
        <v>76</v>
      </c>
      <c r="F58" s="322"/>
      <c r="G58" s="321" t="s">
        <v>85</v>
      </c>
      <c r="H58" s="322"/>
      <c r="I58" s="312"/>
      <c r="J58" s="312"/>
      <c r="K58" s="323">
        <f>C48</f>
        <v>2025</v>
      </c>
      <c r="L58" s="129"/>
      <c r="M58" s="321" t="s">
        <v>76</v>
      </c>
      <c r="N58" s="322"/>
      <c r="O58" s="321" t="s">
        <v>85</v>
      </c>
      <c r="P58" s="322"/>
      <c r="Q58"/>
    </row>
    <row r="59" spans="1:18" ht="18.75" customHeight="1" thickBot="1" x14ac:dyDescent="0.25">
      <c r="A59"/>
      <c r="B59"/>
      <c r="C59" s="324"/>
      <c r="D59" s="325" t="s">
        <v>83</v>
      </c>
      <c r="E59" s="326">
        <f>IF('Détails ASRA'!J22='Coti ASRA prev'!$B$1," - ",'Détails ASRA'!J22)</f>
        <v>76.863063428106656</v>
      </c>
      <c r="F59" s="327" t="str">
        <f>'Détails ASRA'!I22</f>
        <v>$ / truie</v>
      </c>
      <c r="G59" s="328">
        <f>IF('Détails ASRA'!J20='Coti ASRA prev'!$B$1," - ",'Détails ASRA'!J20)</f>
        <v>6.7999868170253927E-2</v>
      </c>
      <c r="H59" s="329" t="str">
        <f>'Détails ASRA'!I20</f>
        <v>$ / kg</v>
      </c>
      <c r="I59" s="312"/>
      <c r="J59" s="312"/>
      <c r="K59" s="330"/>
      <c r="L59" s="325" t="s">
        <v>83</v>
      </c>
      <c r="M59" s="326" t="str">
        <f>IF('Détails ASRA'!K22='Coti ASRA prev'!$B$1," - ",'Détails ASRA'!K22)</f>
        <v xml:space="preserve"> - </v>
      </c>
      <c r="N59" s="331" t="str">
        <f>F59</f>
        <v>$ / truie</v>
      </c>
      <c r="O59" s="332" t="str">
        <f>IF('Détails ASRA'!K20='Coti ASRA prev'!$B$1," - ",'Détails ASRA'!K20)</f>
        <v xml:space="preserve"> - </v>
      </c>
      <c r="P59" s="329" t="str">
        <f>H59</f>
        <v>$ / kg</v>
      </c>
      <c r="Q59"/>
    </row>
    <row r="60" spans="1:18" ht="18.75" customHeight="1" thickTop="1" thickBot="1" x14ac:dyDescent="0.3">
      <c r="A60"/>
      <c r="B60"/>
      <c r="C60" s="333"/>
      <c r="D60" s="334" t="s">
        <v>84</v>
      </c>
      <c r="E60" s="407">
        <f>'Détails ASRA'!J28</f>
        <v>90.15</v>
      </c>
      <c r="F60" s="336" t="str">
        <f>F59</f>
        <v>$ / truie</v>
      </c>
      <c r="G60" s="337">
        <f>'Détails ASRA'!J26</f>
        <v>7.3899999999999993E-2</v>
      </c>
      <c r="H60" s="338" t="str">
        <f>H59</f>
        <v>$ / kg</v>
      </c>
      <c r="I60" s="312"/>
      <c r="J60" s="312"/>
      <c r="K60" s="333"/>
      <c r="L60" s="334" t="s">
        <v>84</v>
      </c>
      <c r="M60" s="335">
        <f>'Détails ASRA'!K28</f>
        <v>90.15</v>
      </c>
      <c r="N60" s="339" t="str">
        <f>N59</f>
        <v>$ / truie</v>
      </c>
      <c r="O60" s="337">
        <f>'Détails ASRA'!K26</f>
        <v>7.3899999999999993E-2</v>
      </c>
      <c r="P60" s="338" t="str">
        <f>P59</f>
        <v>$ / kg</v>
      </c>
      <c r="Q60"/>
    </row>
    <row r="61" spans="1:18" ht="18.75" customHeight="1" x14ac:dyDescent="0.25">
      <c r="A61"/>
      <c r="B61"/>
      <c r="C61"/>
      <c r="D61" s="340"/>
      <c r="E61" s="202"/>
      <c r="F61"/>
      <c r="G61" s="235"/>
      <c r="H61"/>
      <c r="I61" s="312"/>
      <c r="J61" s="312"/>
      <c r="K61"/>
      <c r="L61" s="340"/>
      <c r="M61" s="202"/>
      <c r="N61"/>
      <c r="O61" s="235"/>
      <c r="P61"/>
      <c r="Q61"/>
    </row>
    <row r="62" spans="1:18" ht="15.6" customHeight="1" x14ac:dyDescent="0.2">
      <c r="A62"/>
      <c r="B62"/>
      <c r="C62"/>
      <c r="D62"/>
      <c r="E62"/>
      <c r="F62"/>
      <c r="G62"/>
      <c r="H62"/>
      <c r="I62"/>
      <c r="J62"/>
      <c r="K62"/>
      <c r="L62"/>
      <c r="M62"/>
      <c r="N62"/>
      <c r="O62"/>
      <c r="P62"/>
      <c r="Q62"/>
    </row>
    <row r="63" spans="1:18" ht="12.75" customHeight="1" x14ac:dyDescent="0.2">
      <c r="A63" s="139"/>
      <c r="B63" s="139"/>
      <c r="C63" s="139"/>
      <c r="D63" s="139"/>
      <c r="E63" s="139"/>
      <c r="F63" s="139"/>
      <c r="G63" s="139"/>
      <c r="H63" s="139"/>
      <c r="I63" s="139"/>
      <c r="J63" s="139"/>
      <c r="K63" s="139"/>
      <c r="L63" s="139"/>
      <c r="M63" s="139"/>
      <c r="N63" s="139"/>
      <c r="O63" s="139"/>
      <c r="P63" s="139"/>
      <c r="Q63" s="139"/>
    </row>
    <row r="83" spans="5:5" x14ac:dyDescent="0.2">
      <c r="E83" s="157"/>
    </row>
    <row r="84" spans="5:5" x14ac:dyDescent="0.2">
      <c r="E84" s="157"/>
    </row>
  </sheetData>
  <sheetProtection sheet="1" objects="1" scenarios="1" selectLockedCells="1"/>
  <mergeCells count="15">
    <mergeCell ref="F2:O2"/>
    <mergeCell ref="L52:O52"/>
    <mergeCell ref="C53:G53"/>
    <mergeCell ref="N53:O53"/>
    <mergeCell ref="N54:O54"/>
    <mergeCell ref="D4:E4"/>
    <mergeCell ref="F4:G4"/>
    <mergeCell ref="J4:K4"/>
    <mergeCell ref="L4:M4"/>
    <mergeCell ref="N4:O4"/>
    <mergeCell ref="C52:G52"/>
    <mergeCell ref="C49:P49"/>
    <mergeCell ref="C50:P50"/>
    <mergeCell ref="H4:I4"/>
    <mergeCell ref="C51:P51"/>
  </mergeCells>
  <phoneticPr fontId="2" type="noConversion"/>
  <printOptions horizontalCentered="1" verticalCentered="1"/>
  <pageMargins left="0" right="0" top="0" bottom="0" header="0.31496062992125984" footer="0.31496062992125984"/>
  <pageSetup scale="70" fitToWidth="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C2A4-EA86-4CBA-8FC4-024CDC1E039C}">
  <sheetPr>
    <pageSetUpPr fitToPage="1"/>
  </sheetPr>
  <dimension ref="A1:BQ350"/>
  <sheetViews>
    <sheetView showGridLines="0" showRowColHeaders="0" zoomScale="90" zoomScaleNormal="90" workbookViewId="0">
      <selection activeCell="A53" sqref="A53"/>
    </sheetView>
  </sheetViews>
  <sheetFormatPr baseColWidth="10" defaultRowHeight="12.75" x14ac:dyDescent="0.2"/>
  <cols>
    <col min="1" max="2" width="2.5703125" customWidth="1"/>
    <col min="3" max="3" width="13.7109375" customWidth="1"/>
    <col min="4" max="4" width="16" customWidth="1"/>
    <col min="5" max="5" width="17.7109375" customWidth="1"/>
    <col min="6" max="6" width="13.28515625" customWidth="1"/>
    <col min="7" max="7" width="6" customWidth="1"/>
    <col min="8" max="8" width="9.5703125" customWidth="1"/>
    <col min="12" max="12" width="17.85546875" customWidth="1"/>
  </cols>
  <sheetData>
    <row r="1" spans="3:69" ht="140.25" customHeight="1" x14ac:dyDescent="0.2">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row>
    <row r="2" spans="3:69" ht="15.75" x14ac:dyDescent="0.25">
      <c r="C2" s="365" t="s">
        <v>121</v>
      </c>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row>
    <row r="3" spans="3:69" ht="13.5" thickBot="1" x14ac:dyDescent="0.25">
      <c r="C3" s="205"/>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row>
    <row r="4" spans="3:69" ht="46.5" thickBot="1" x14ac:dyDescent="0.25">
      <c r="C4" s="138" t="s">
        <v>79</v>
      </c>
      <c r="D4" s="206" t="s">
        <v>117</v>
      </c>
      <c r="E4" s="368" t="s">
        <v>128</v>
      </c>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row>
    <row r="5" spans="3:69" ht="17.25" thickTop="1" thickBot="1" x14ac:dyDescent="0.25">
      <c r="C5" s="399">
        <f>Saisie!O10</f>
        <v>2024</v>
      </c>
      <c r="D5" s="400"/>
      <c r="E5" s="401"/>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row>
    <row r="6" spans="3:69" ht="13.5" thickTop="1" x14ac:dyDescent="0.2">
      <c r="C6" s="209" t="s">
        <v>95</v>
      </c>
      <c r="D6" s="366">
        <v>0</v>
      </c>
      <c r="E6" s="348">
        <f>'Résultats vs 2023'!I9-('Résultats vs 2023'!I9*D6)</f>
        <v>1.778935991633638</v>
      </c>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row>
    <row r="7" spans="3:69" x14ac:dyDescent="0.2">
      <c r="C7" s="207" t="s">
        <v>96</v>
      </c>
      <c r="D7" s="366">
        <v>0</v>
      </c>
      <c r="E7" s="348">
        <f>'Résultats vs 2023'!I10-('Résultats vs 2023'!I10*D7)</f>
        <v>1.8331041542473918</v>
      </c>
      <c r="M7" s="153"/>
      <c r="N7" s="153"/>
      <c r="O7" s="225"/>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row>
    <row r="8" spans="3:69" x14ac:dyDescent="0.2">
      <c r="C8" s="207" t="s">
        <v>97</v>
      </c>
      <c r="D8" s="366">
        <v>0</v>
      </c>
      <c r="E8" s="348">
        <f>'Résultats vs 2023'!I11-('Résultats vs 2023'!I11*D8)</f>
        <v>1.9214448970290028</v>
      </c>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row>
    <row r="9" spans="3:69" x14ac:dyDescent="0.2">
      <c r="C9" s="207" t="s">
        <v>98</v>
      </c>
      <c r="D9" s="366">
        <v>0</v>
      </c>
      <c r="E9" s="348">
        <f>'Résultats vs 2023'!I12-('Résultats vs 2023'!I12*D9)</f>
        <v>2.0659803220495938</v>
      </c>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row>
    <row r="10" spans="3:69" x14ac:dyDescent="0.2">
      <c r="C10" s="207" t="s">
        <v>99</v>
      </c>
      <c r="D10" s="366">
        <v>0</v>
      </c>
      <c r="E10" s="348">
        <f>'Résultats vs 2023'!I13-('Résultats vs 2023'!I13*D10)</f>
        <v>2.0843186939156975</v>
      </c>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row>
    <row r="11" spans="3:69" x14ac:dyDescent="0.2">
      <c r="C11" s="207" t="s">
        <v>100</v>
      </c>
      <c r="D11" s="366">
        <v>0</v>
      </c>
      <c r="E11" s="348">
        <f>'Résultats vs 2023'!I14-('Résultats vs 2023'!I14*D11)</f>
        <v>2.0879585225877988</v>
      </c>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row>
    <row r="12" spans="3:69" x14ac:dyDescent="0.2">
      <c r="C12" s="207" t="s">
        <v>101</v>
      </c>
      <c r="D12" s="366">
        <v>0</v>
      </c>
      <c r="E12" s="348">
        <f>'Résultats vs 2023'!I15-('Résultats vs 2023'!I15*D12)</f>
        <v>2.0777396891728008</v>
      </c>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row>
    <row r="13" spans="3:69" x14ac:dyDescent="0.2">
      <c r="C13" s="207" t="s">
        <v>102</v>
      </c>
      <c r="D13" s="366">
        <v>0</v>
      </c>
      <c r="E13" s="348">
        <f>'Résultats vs 2023'!I16-('Résultats vs 2023'!I16*D13)</f>
        <v>2.1254453787343719</v>
      </c>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row>
    <row r="14" spans="3:69" x14ac:dyDescent="0.2">
      <c r="C14" s="207" t="s">
        <v>103</v>
      </c>
      <c r="D14" s="366">
        <v>0</v>
      </c>
      <c r="E14" s="348">
        <f>'Résultats vs 2023'!I17-('Résultats vs 2023'!I17*D14)</f>
        <v>2.0234697735704237</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row>
    <row r="15" spans="3:69" x14ac:dyDescent="0.2">
      <c r="C15" s="207" t="s">
        <v>104</v>
      </c>
      <c r="D15" s="366">
        <v>0</v>
      </c>
      <c r="E15" s="348">
        <f>'Résultats vs 2023'!I18-('Résultats vs 2023'!I18*D15)</f>
        <v>2.1080210640873434</v>
      </c>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row>
    <row r="16" spans="3:69" x14ac:dyDescent="0.2">
      <c r="C16" s="207" t="s">
        <v>105</v>
      </c>
      <c r="D16" s="366">
        <v>-8.5584441023435903E-3</v>
      </c>
      <c r="E16" s="349">
        <f>'Résultats vs 2023'!I19-('Résultats vs 2023'!I19*D16)</f>
        <v>2.0474878094185076</v>
      </c>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row>
    <row r="17" spans="3:69" ht="13.5" thickBot="1" x14ac:dyDescent="0.25">
      <c r="C17" s="208" t="s">
        <v>106</v>
      </c>
      <c r="D17" s="367">
        <v>-8.9299434913893017E-3</v>
      </c>
      <c r="E17" s="349">
        <f>'Résultats vs 2023'!I20-('Résultats vs 2023'!I20*D17)</f>
        <v>1.9622964163277608</v>
      </c>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row>
    <row r="18" spans="3:69" ht="16.5" thickBot="1" x14ac:dyDescent="0.25">
      <c r="C18" s="402">
        <f>Saisie!P10</f>
        <v>2025</v>
      </c>
      <c r="D18" s="403"/>
      <c r="E18" s="404"/>
      <c r="F18" s="346"/>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row>
    <row r="19" spans="3:69" ht="13.5" thickTop="1" x14ac:dyDescent="0.2">
      <c r="C19" s="373" t="s">
        <v>95</v>
      </c>
      <c r="D19" s="374">
        <v>-5.1377530191962081E-3</v>
      </c>
      <c r="E19" s="375">
        <f>'Résultats vs 2023'!I22-('Résultats vs 2023'!I22*D19)</f>
        <v>1.9490600476147748</v>
      </c>
      <c r="F19" s="346"/>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row>
    <row r="20" spans="3:69" x14ac:dyDescent="0.2">
      <c r="C20" s="207" t="s">
        <v>96</v>
      </c>
      <c r="D20" s="366">
        <v>0</v>
      </c>
      <c r="E20" s="220">
        <f>'Résultats vs 2023'!I23-('Résultats vs 2023'!I23*D20)</f>
        <v>1.9207130246000066</v>
      </c>
      <c r="F20" s="346"/>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row>
    <row r="21" spans="3:69" x14ac:dyDescent="0.2">
      <c r="C21" s="207" t="s">
        <v>97</v>
      </c>
      <c r="D21" s="366">
        <v>0</v>
      </c>
      <c r="E21" s="220">
        <f>'Résultats vs 2023'!I24-('Résultats vs 2023'!I24*D21)</f>
        <v>1.9955467758968388</v>
      </c>
      <c r="F21" s="346"/>
      <c r="M21" s="225"/>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row>
    <row r="22" spans="3:69" x14ac:dyDescent="0.2">
      <c r="C22" s="207" t="s">
        <v>98</v>
      </c>
      <c r="D22" s="366">
        <v>0</v>
      </c>
      <c r="E22" s="220">
        <f>'Résultats vs 2023'!I25-('Résultats vs 2023'!I25*D22)</f>
        <v>2.05208792257072</v>
      </c>
      <c r="F22" s="346"/>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row>
    <row r="23" spans="3:69" x14ac:dyDescent="0.2">
      <c r="C23" s="207" t="s">
        <v>99</v>
      </c>
      <c r="D23" s="366">
        <v>0</v>
      </c>
      <c r="E23" s="220">
        <f>'Résultats vs 2023'!I26-('Résultats vs 2023'!I26*D23)</f>
        <v>2.2243179615616717</v>
      </c>
      <c r="F23" s="346"/>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row>
    <row r="24" spans="3:69" x14ac:dyDescent="0.2">
      <c r="C24" s="207" t="s">
        <v>100</v>
      </c>
      <c r="D24" s="366">
        <v>0</v>
      </c>
      <c r="E24" s="220">
        <f>'Résultats vs 2023'!I27-('Résultats vs 2023'!I27*D24)</f>
        <v>2.3233028406421825</v>
      </c>
      <c r="F24" s="346"/>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row>
    <row r="25" spans="3:69" x14ac:dyDescent="0.2">
      <c r="C25" s="207" t="s">
        <v>101</v>
      </c>
      <c r="D25" s="366">
        <v>0</v>
      </c>
      <c r="E25" s="220">
        <f>'Résultats vs 2023'!I28-('Résultats vs 2023'!I28*D25)</f>
        <v>2.5386976393671294</v>
      </c>
      <c r="F25" s="346"/>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row>
    <row r="26" spans="3:69" x14ac:dyDescent="0.2">
      <c r="C26" s="207" t="s">
        <v>102</v>
      </c>
      <c r="D26" s="366">
        <v>0</v>
      </c>
      <c r="E26" s="220">
        <f>'Résultats vs 2023'!I29-('Résultats vs 2023'!I29*D26)</f>
        <v>2.3985881146480152</v>
      </c>
      <c r="F26" s="346"/>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row>
    <row r="27" spans="3:69" x14ac:dyDescent="0.2">
      <c r="C27" s="207" t="s">
        <v>103</v>
      </c>
      <c r="D27" s="366">
        <v>0</v>
      </c>
      <c r="E27" s="220">
        <f>'Résultats vs 2023'!I30-('Résultats vs 2023'!I30*D27)</f>
        <v>2.1456820261289993</v>
      </c>
      <c r="F27" s="346"/>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row>
    <row r="28" spans="3:69" x14ac:dyDescent="0.2">
      <c r="C28" s="207" t="s">
        <v>104</v>
      </c>
      <c r="D28" s="366">
        <v>0</v>
      </c>
      <c r="E28" s="220">
        <f>'Résultats vs 2023'!I31-('Résultats vs 2023'!I31*D28)</f>
        <v>2.1749091017569122</v>
      </c>
      <c r="F28" s="346"/>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row>
    <row r="29" spans="3:69" x14ac:dyDescent="0.2">
      <c r="C29" s="207" t="s">
        <v>105</v>
      </c>
      <c r="D29" s="366">
        <v>0</v>
      </c>
      <c r="E29" s="220">
        <f>'Résultats vs 2023'!I32-('Résultats vs 2023'!I32*D29)</f>
        <v>1.9993690543943736</v>
      </c>
      <c r="F29" s="346"/>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row>
    <row r="30" spans="3:69" ht="13.5" thickBot="1" x14ac:dyDescent="0.25">
      <c r="C30" s="208" t="s">
        <v>106</v>
      </c>
      <c r="D30" s="367">
        <v>0</v>
      </c>
      <c r="E30" s="376">
        <f>'Résultats vs 2023'!I33-('Résultats vs 2023'!I33*D30)</f>
        <v>1.8950216760009968</v>
      </c>
      <c r="F30" s="346"/>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row>
    <row r="31" spans="3:69" x14ac:dyDescent="0.2">
      <c r="C31" s="221" t="s">
        <v>110</v>
      </c>
      <c r="D31" s="221"/>
      <c r="E31" s="221"/>
      <c r="F31" s="346"/>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row>
    <row r="32" spans="3:69" x14ac:dyDescent="0.2">
      <c r="C32" t="s">
        <v>107</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row>
    <row r="33" spans="3:69" x14ac:dyDescent="0.2">
      <c r="C33" t="s">
        <v>108</v>
      </c>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row>
    <row r="34" spans="3:69" ht="13.5" thickBot="1" x14ac:dyDescent="0.25">
      <c r="D34" s="215"/>
      <c r="E34" s="226"/>
      <c r="F34" s="226"/>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row>
    <row r="35" spans="3:69" ht="46.5" thickBot="1" x14ac:dyDescent="0.25">
      <c r="C35" s="138" t="s">
        <v>78</v>
      </c>
      <c r="D35" s="206" t="s">
        <v>117</v>
      </c>
      <c r="E35" s="368" t="s">
        <v>128</v>
      </c>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row>
    <row r="36" spans="3:69" ht="17.25" thickTop="1" thickBot="1" x14ac:dyDescent="0.25">
      <c r="C36" s="399">
        <f>C5</f>
        <v>2024</v>
      </c>
      <c r="D36" s="400"/>
      <c r="E36" s="401"/>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row>
    <row r="37" spans="3:69" ht="13.5" thickTop="1" x14ac:dyDescent="0.2">
      <c r="C37" s="210" t="str">
        <f>"T1- "</f>
        <v xml:space="preserve">T1- </v>
      </c>
      <c r="D37" s="366">
        <f>AVERAGE(D6:D8)</f>
        <v>0</v>
      </c>
      <c r="E37" s="348">
        <f>'Résultats vs 2023'!I36-('Résultats vs 2023'!I36*'Réductions du prix des porcs'!D37)</f>
        <v>1.8415170270534347</v>
      </c>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row>
    <row r="38" spans="3:69" x14ac:dyDescent="0.2">
      <c r="C38" s="211" t="str">
        <f>"T2- "</f>
        <v xml:space="preserve">T2- </v>
      </c>
      <c r="D38" s="369">
        <f>AVERAGE(D9:D11)</f>
        <v>0</v>
      </c>
      <c r="E38" s="348">
        <f>'Résultats vs 2023'!I37-('Résultats vs 2023'!I37*D38)</f>
        <v>2.0797218620704498</v>
      </c>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row>
    <row r="39" spans="3:69" x14ac:dyDescent="0.2">
      <c r="C39" s="211" t="str">
        <f>"T3- "</f>
        <v xml:space="preserve">T3- </v>
      </c>
      <c r="D39" s="369">
        <f>AVERAGE(D12:D14)</f>
        <v>0</v>
      </c>
      <c r="E39" s="348">
        <f>'Résultats vs 2023'!I38-('Résultats vs 2023'!I38*D39)</f>
        <v>2.0763791592389382</v>
      </c>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row>
    <row r="40" spans="3:69" ht="13.5" thickBot="1" x14ac:dyDescent="0.25">
      <c r="C40" s="212" t="str">
        <f>"T4- "</f>
        <v xml:space="preserve">T4- </v>
      </c>
      <c r="D40" s="367">
        <f>AVERAGE(D15:D17)</f>
        <v>-5.8294625312442965E-3</v>
      </c>
      <c r="E40" s="220">
        <f>'Résultats vs 2023'!I39-('Résultats vs 2023'!I39*D40)</f>
        <v>2.0405011126538146</v>
      </c>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row>
    <row r="41" spans="3:69" ht="16.5" thickBot="1" x14ac:dyDescent="0.25">
      <c r="C41" s="402">
        <f>C36+1</f>
        <v>2025</v>
      </c>
      <c r="D41" s="403"/>
      <c r="E41" s="404"/>
      <c r="M41" s="225"/>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row>
    <row r="42" spans="3:69" ht="13.5" thickTop="1" x14ac:dyDescent="0.2">
      <c r="C42" s="210" t="str">
        <f>"T1- "</f>
        <v xml:space="preserve">T1- </v>
      </c>
      <c r="D42" s="366">
        <f>AVERAGE(D19:D21)</f>
        <v>-1.7125843397320694E-3</v>
      </c>
      <c r="E42" s="353">
        <f>'Résultats vs 2023'!I41-('Résultats vs 2023'!I41*D42)</f>
        <v>1.9551283458283693</v>
      </c>
      <c r="M42" s="225"/>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row>
    <row r="43" spans="3:69" x14ac:dyDescent="0.2">
      <c r="C43" s="211" t="str">
        <f>"T2- "</f>
        <v xml:space="preserve">T2- </v>
      </c>
      <c r="D43" s="369">
        <f>AVERAGE(D22:D24)</f>
        <v>0</v>
      </c>
      <c r="E43" s="220">
        <f>'Résultats vs 2023'!I42-('Résultats vs 2023'!I42*D43)</f>
        <v>2.1999029082581911</v>
      </c>
      <c r="M43" s="225"/>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row>
    <row r="44" spans="3:69" x14ac:dyDescent="0.2">
      <c r="C44" s="211" t="str">
        <f>"T3- "</f>
        <v xml:space="preserve">T3- </v>
      </c>
      <c r="D44" s="369">
        <f>AVERAGE(D25:D27)</f>
        <v>0</v>
      </c>
      <c r="E44" s="220">
        <f>'Résultats vs 2023'!I43-('Résultats vs 2023'!I43*D44)</f>
        <v>2.360989260048048</v>
      </c>
      <c r="M44" s="225"/>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row>
    <row r="45" spans="3:69" ht="13.5" thickBot="1" x14ac:dyDescent="0.25">
      <c r="C45" s="212" t="str">
        <f>"T4- "</f>
        <v xml:space="preserve">T4- </v>
      </c>
      <c r="D45" s="367">
        <f>AVERAGE(D28:D30)</f>
        <v>0</v>
      </c>
      <c r="E45" s="376">
        <f>'Résultats vs 2023'!I44-('Résultats vs 2023'!I44*D45)</f>
        <v>2.0230999440507613</v>
      </c>
      <c r="M45" s="225"/>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row>
    <row r="46" spans="3:69" ht="13.5" thickBot="1" x14ac:dyDescent="0.25">
      <c r="C46" s="221" t="s">
        <v>111</v>
      </c>
      <c r="D46" s="221"/>
      <c r="E46" s="221"/>
      <c r="F46" s="204"/>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row>
    <row r="47" spans="3:69" ht="46.5" thickBot="1" x14ac:dyDescent="0.25">
      <c r="C47" s="213" t="s">
        <v>77</v>
      </c>
      <c r="D47" s="206" t="str">
        <f>D35</f>
        <v>Rajustement moyen</v>
      </c>
      <c r="E47" s="368" t="s">
        <v>128</v>
      </c>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row>
    <row r="48" spans="3:69" ht="17.25" thickTop="1" thickBot="1" x14ac:dyDescent="0.25">
      <c r="C48" s="399">
        <f>C5</f>
        <v>2024</v>
      </c>
      <c r="D48" s="400"/>
      <c r="E48" s="401"/>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row>
    <row r="49" spans="1:69" ht="15.75" thickTop="1" thickBot="1" x14ac:dyDescent="0.25">
      <c r="C49" s="214"/>
      <c r="D49" s="370">
        <f>AVERAGE(D6:D17)</f>
        <v>-1.4573656328110741E-3</v>
      </c>
      <c r="E49" s="350">
        <f ca="1">'Résultats vs 2023'!I47-('Résultats vs 2023'!I47*D49)</f>
        <v>2.0120710991884669</v>
      </c>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row>
    <row r="50" spans="1:69" ht="16.5" thickBot="1" x14ac:dyDescent="0.25">
      <c r="C50" s="402">
        <f>C48+1</f>
        <v>2025</v>
      </c>
      <c r="D50" s="403"/>
      <c r="E50" s="404"/>
      <c r="F50" s="347"/>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row>
    <row r="51" spans="1:69" ht="15.75" thickTop="1" thickBot="1" x14ac:dyDescent="0.25">
      <c r="C51" s="214"/>
      <c r="D51" s="370">
        <f>AVERAGE(D19:D30)</f>
        <v>-4.2814608493301734E-4</v>
      </c>
      <c r="E51" s="350">
        <f ca="1">'Résultats vs 2023'!I48-('Résultats vs 2023'!I48*D51)</f>
        <v>2.1348581050878614</v>
      </c>
      <c r="F51" s="347"/>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row>
    <row r="52" spans="1:69" x14ac:dyDescent="0.2">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row>
    <row r="53" spans="1:69" x14ac:dyDescent="0.2">
      <c r="A53" s="139"/>
      <c r="B53" s="139"/>
      <c r="C53" s="139"/>
      <c r="D53" s="139"/>
      <c r="E53" s="139"/>
      <c r="F53" s="139"/>
      <c r="G53" s="139"/>
      <c r="H53" s="139"/>
      <c r="I53" s="139"/>
      <c r="J53" s="139"/>
      <c r="K53" s="139"/>
      <c r="L53" s="139"/>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row>
    <row r="54" spans="1:69" x14ac:dyDescent="0.2">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row>
    <row r="55" spans="1:69" x14ac:dyDescent="0.2">
      <c r="A55" s="153"/>
      <c r="B55" s="153"/>
      <c r="C55" s="153"/>
      <c r="D55" s="236"/>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row>
    <row r="56" spans="1:69" x14ac:dyDescent="0.2">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row>
    <row r="57" spans="1:69" x14ac:dyDescent="0.2">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row>
    <row r="58" spans="1:69" x14ac:dyDescent="0.2">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row>
    <row r="59" spans="1:69" x14ac:dyDescent="0.2">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row>
    <row r="60" spans="1:69" x14ac:dyDescent="0.2">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row>
    <row r="61" spans="1:69" x14ac:dyDescent="0.2">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row>
    <row r="62" spans="1:69" x14ac:dyDescent="0.2">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row>
    <row r="63" spans="1:69" x14ac:dyDescent="0.2">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row>
    <row r="64" spans="1:69" x14ac:dyDescent="0.2">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row>
    <row r="65" spans="1:69" x14ac:dyDescent="0.2">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row>
    <row r="66" spans="1:69" x14ac:dyDescent="0.2">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row>
    <row r="67" spans="1:69" x14ac:dyDescent="0.2">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row>
    <row r="68" spans="1:69" x14ac:dyDescent="0.2">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row>
    <row r="69" spans="1:69" x14ac:dyDescent="0.2">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row>
    <row r="70" spans="1:69" x14ac:dyDescent="0.2">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row>
    <row r="71" spans="1:69" x14ac:dyDescent="0.2">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row>
    <row r="72" spans="1:69" x14ac:dyDescent="0.2">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row>
    <row r="73" spans="1:69" x14ac:dyDescent="0.2">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row>
    <row r="74" spans="1:69" x14ac:dyDescent="0.2">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row>
    <row r="75" spans="1:69" x14ac:dyDescent="0.2">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row>
    <row r="76" spans="1:69" x14ac:dyDescent="0.2">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row>
    <row r="77" spans="1:69" x14ac:dyDescent="0.2">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row>
    <row r="78" spans="1:69" x14ac:dyDescent="0.2">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row>
    <row r="79" spans="1:69" x14ac:dyDescent="0.2">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row>
    <row r="80" spans="1:69" x14ac:dyDescent="0.2">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row>
    <row r="81" spans="1:69" x14ac:dyDescent="0.2">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row>
    <row r="82" spans="1:69" x14ac:dyDescent="0.2">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row>
    <row r="83" spans="1:69" x14ac:dyDescent="0.2">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row>
    <row r="84" spans="1:69" x14ac:dyDescent="0.2">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row>
    <row r="85" spans="1:69" x14ac:dyDescent="0.2">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row>
    <row r="86" spans="1:69" x14ac:dyDescent="0.2">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row>
    <row r="87" spans="1:69" x14ac:dyDescent="0.2">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row>
    <row r="88" spans="1:69" x14ac:dyDescent="0.2">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row>
    <row r="89" spans="1:69" x14ac:dyDescent="0.2">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row>
    <row r="90" spans="1:69" x14ac:dyDescent="0.2">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row>
    <row r="91" spans="1:69" x14ac:dyDescent="0.2">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row>
    <row r="92" spans="1:69" x14ac:dyDescent="0.2">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row>
    <row r="93" spans="1:69" x14ac:dyDescent="0.2">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row>
    <row r="94" spans="1:69" x14ac:dyDescent="0.2">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row>
    <row r="95" spans="1:69" x14ac:dyDescent="0.2">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row>
    <row r="96" spans="1:69" x14ac:dyDescent="0.2">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row>
    <row r="97" spans="1:69" x14ac:dyDescent="0.2">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row>
    <row r="98" spans="1:69" x14ac:dyDescent="0.2">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row>
    <row r="99" spans="1:69" x14ac:dyDescent="0.2">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row>
    <row r="100" spans="1:69" x14ac:dyDescent="0.2">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row>
    <row r="101" spans="1:69" x14ac:dyDescent="0.2">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row>
    <row r="102" spans="1:69" x14ac:dyDescent="0.2">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row>
    <row r="103" spans="1:69" x14ac:dyDescent="0.2">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row>
    <row r="104" spans="1:69" x14ac:dyDescent="0.2">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row>
    <row r="105" spans="1:69" x14ac:dyDescent="0.2">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row>
    <row r="106" spans="1:69" x14ac:dyDescent="0.2">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row>
    <row r="107" spans="1:69" x14ac:dyDescent="0.2">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row>
    <row r="108" spans="1:69" x14ac:dyDescent="0.2">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row>
    <row r="109" spans="1:69" x14ac:dyDescent="0.2">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row>
    <row r="110" spans="1:69" x14ac:dyDescent="0.2">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row>
    <row r="111" spans="1:69" x14ac:dyDescent="0.2">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row>
    <row r="112" spans="1:69" x14ac:dyDescent="0.2">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row>
    <row r="113" spans="1:69" x14ac:dyDescent="0.2">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row>
    <row r="114" spans="1:69" x14ac:dyDescent="0.2">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row>
    <row r="115" spans="1:69" x14ac:dyDescent="0.2">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row>
    <row r="116" spans="1:69" x14ac:dyDescent="0.2">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row>
    <row r="117" spans="1:69" x14ac:dyDescent="0.2">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row>
    <row r="118" spans="1:69" x14ac:dyDescent="0.2">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row>
    <row r="119" spans="1:69" x14ac:dyDescent="0.2">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row>
    <row r="120" spans="1:69" x14ac:dyDescent="0.2">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row>
    <row r="121" spans="1:69" x14ac:dyDescent="0.2">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row>
    <row r="122" spans="1:69" x14ac:dyDescent="0.2">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row>
    <row r="123" spans="1:69" x14ac:dyDescent="0.2">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row>
    <row r="124" spans="1:69" x14ac:dyDescent="0.2">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row>
    <row r="125" spans="1:69" x14ac:dyDescent="0.2">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row>
    <row r="126" spans="1:69" x14ac:dyDescent="0.2">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row>
    <row r="127" spans="1:69" x14ac:dyDescent="0.2">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row>
    <row r="128" spans="1:69" x14ac:dyDescent="0.2">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row>
    <row r="129" spans="1:69" x14ac:dyDescent="0.2">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row>
    <row r="130" spans="1:69" x14ac:dyDescent="0.2">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row>
    <row r="131" spans="1:69" x14ac:dyDescent="0.2">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row>
    <row r="132" spans="1:69" x14ac:dyDescent="0.2">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row>
    <row r="133" spans="1:69" x14ac:dyDescent="0.2">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row>
    <row r="134" spans="1:69" x14ac:dyDescent="0.2">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row>
    <row r="135" spans="1:69" x14ac:dyDescent="0.2">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row>
    <row r="136" spans="1:69" x14ac:dyDescent="0.2">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row>
    <row r="137" spans="1:69" x14ac:dyDescent="0.2">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row>
    <row r="138" spans="1:69" x14ac:dyDescent="0.2">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row>
    <row r="139" spans="1:69" x14ac:dyDescent="0.2">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row>
    <row r="140" spans="1:69" x14ac:dyDescent="0.2">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row>
    <row r="141" spans="1:69" x14ac:dyDescent="0.2">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row>
    <row r="142" spans="1:69" x14ac:dyDescent="0.2">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row>
    <row r="143" spans="1:69" x14ac:dyDescent="0.2">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row>
    <row r="144" spans="1:69" x14ac:dyDescent="0.2">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3"/>
    </row>
    <row r="145" spans="1:69" x14ac:dyDescent="0.2">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row>
    <row r="146" spans="1:69" x14ac:dyDescent="0.2">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row>
    <row r="147" spans="1:69" x14ac:dyDescent="0.2">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row>
    <row r="148" spans="1:69" x14ac:dyDescent="0.2">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row>
    <row r="149" spans="1:69" x14ac:dyDescent="0.2">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row>
    <row r="150" spans="1:69" x14ac:dyDescent="0.2">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row>
    <row r="151" spans="1:69" x14ac:dyDescent="0.2">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row>
    <row r="152" spans="1:69" x14ac:dyDescent="0.2">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row>
    <row r="153" spans="1:69" x14ac:dyDescent="0.2">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row>
    <row r="154" spans="1:69" x14ac:dyDescent="0.2">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row>
    <row r="155" spans="1:69" x14ac:dyDescent="0.2">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row>
    <row r="156" spans="1:69" x14ac:dyDescent="0.2">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row>
    <row r="157" spans="1:69" x14ac:dyDescent="0.2">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row>
    <row r="158" spans="1:69" x14ac:dyDescent="0.2">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row>
    <row r="159" spans="1:69" x14ac:dyDescent="0.2">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row>
    <row r="160" spans="1:69" x14ac:dyDescent="0.2">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row>
    <row r="161" spans="1:69" x14ac:dyDescent="0.2">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row>
    <row r="162" spans="1:69" x14ac:dyDescent="0.2">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row>
    <row r="163" spans="1:69" x14ac:dyDescent="0.2">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row>
    <row r="164" spans="1:69" x14ac:dyDescent="0.2">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row>
    <row r="165" spans="1:69" x14ac:dyDescent="0.2">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row>
    <row r="166" spans="1:69" x14ac:dyDescent="0.2">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row>
    <row r="167" spans="1:69" x14ac:dyDescent="0.2">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row>
    <row r="168" spans="1:69" x14ac:dyDescent="0.2">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row>
    <row r="169" spans="1:69" x14ac:dyDescent="0.2">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row>
    <row r="170" spans="1:69" x14ac:dyDescent="0.2">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row>
    <row r="171" spans="1:69" x14ac:dyDescent="0.2">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row>
    <row r="172" spans="1:69" x14ac:dyDescent="0.2">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row>
    <row r="173" spans="1:69" x14ac:dyDescent="0.2">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row>
    <row r="174" spans="1:69" x14ac:dyDescent="0.2">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row>
    <row r="175" spans="1:69" x14ac:dyDescent="0.2">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row>
    <row r="176" spans="1:69" x14ac:dyDescent="0.2">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row>
    <row r="177" spans="1:69" x14ac:dyDescent="0.2">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row>
    <row r="178" spans="1:69" x14ac:dyDescent="0.2">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row>
    <row r="179" spans="1:69" x14ac:dyDescent="0.2">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row>
    <row r="180" spans="1:69" x14ac:dyDescent="0.2">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c r="BO180" s="153"/>
      <c r="BP180" s="153"/>
      <c r="BQ180" s="153"/>
    </row>
    <row r="181" spans="1:69" x14ac:dyDescent="0.2">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row>
    <row r="182" spans="1:69" x14ac:dyDescent="0.2">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row>
    <row r="183" spans="1:69" x14ac:dyDescent="0.2">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row>
    <row r="184" spans="1:69" x14ac:dyDescent="0.2">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row>
    <row r="185" spans="1:69" x14ac:dyDescent="0.2">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row>
    <row r="186" spans="1:69" x14ac:dyDescent="0.2">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row>
    <row r="187" spans="1:69" x14ac:dyDescent="0.2">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row>
    <row r="188" spans="1:69" x14ac:dyDescent="0.2">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row>
    <row r="189" spans="1:69" x14ac:dyDescent="0.2">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row>
    <row r="190" spans="1:69" x14ac:dyDescent="0.2">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row>
    <row r="191" spans="1:69" x14ac:dyDescent="0.2">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row>
    <row r="192" spans="1:69" x14ac:dyDescent="0.2">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c r="BO192" s="153"/>
      <c r="BP192" s="153"/>
      <c r="BQ192" s="153"/>
    </row>
    <row r="193" spans="1:69" x14ac:dyDescent="0.2">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53"/>
      <c r="BP193" s="153"/>
      <c r="BQ193" s="153"/>
    </row>
    <row r="194" spans="1:69" x14ac:dyDescent="0.2">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row>
    <row r="195" spans="1:69" x14ac:dyDescent="0.2">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row>
    <row r="196" spans="1:69" x14ac:dyDescent="0.2">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row>
    <row r="197" spans="1:69" x14ac:dyDescent="0.2">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row>
    <row r="198" spans="1:69" x14ac:dyDescent="0.2">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row>
    <row r="199" spans="1:69" x14ac:dyDescent="0.2">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c r="BO199" s="153"/>
      <c r="BP199" s="153"/>
      <c r="BQ199" s="153"/>
    </row>
    <row r="200" spans="1:69" x14ac:dyDescent="0.2">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row>
    <row r="201" spans="1:69" x14ac:dyDescent="0.2">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c r="BO201" s="153"/>
      <c r="BP201" s="153"/>
      <c r="BQ201" s="153"/>
    </row>
    <row r="202" spans="1:69" x14ac:dyDescent="0.2">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c r="BO202" s="153"/>
      <c r="BP202" s="153"/>
      <c r="BQ202" s="153"/>
    </row>
    <row r="203" spans="1:69" x14ac:dyDescent="0.2">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row>
    <row r="204" spans="1:69" x14ac:dyDescent="0.2">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153"/>
      <c r="BK204" s="153"/>
      <c r="BL204" s="153"/>
      <c r="BM204" s="153"/>
      <c r="BN204" s="153"/>
      <c r="BO204" s="153"/>
      <c r="BP204" s="153"/>
      <c r="BQ204" s="153"/>
    </row>
    <row r="205" spans="1:69" x14ac:dyDescent="0.2">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row>
    <row r="206" spans="1:69" x14ac:dyDescent="0.2">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row>
    <row r="207" spans="1:69" x14ac:dyDescent="0.2">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row>
    <row r="208" spans="1:69" x14ac:dyDescent="0.2">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row>
    <row r="209" spans="1:69" x14ac:dyDescent="0.2">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row>
    <row r="210" spans="1:69" x14ac:dyDescent="0.2">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row>
    <row r="211" spans="1:69" x14ac:dyDescent="0.2">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row>
    <row r="212" spans="1:69" x14ac:dyDescent="0.2">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row>
    <row r="213" spans="1:69" x14ac:dyDescent="0.2">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c r="BO213" s="153"/>
      <c r="BP213" s="153"/>
      <c r="BQ213" s="153"/>
    </row>
    <row r="214" spans="1:69" x14ac:dyDescent="0.2">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c r="BO214" s="153"/>
      <c r="BP214" s="153"/>
      <c r="BQ214" s="153"/>
    </row>
    <row r="215" spans="1:69" x14ac:dyDescent="0.2">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c r="BO215" s="153"/>
      <c r="BP215" s="153"/>
      <c r="BQ215" s="153"/>
    </row>
    <row r="216" spans="1:69" x14ac:dyDescent="0.2">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row>
    <row r="217" spans="1:69" x14ac:dyDescent="0.2">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c r="BI217" s="153"/>
      <c r="BJ217" s="153"/>
      <c r="BK217" s="153"/>
      <c r="BL217" s="153"/>
      <c r="BM217" s="153"/>
      <c r="BN217" s="153"/>
      <c r="BO217" s="153"/>
      <c r="BP217" s="153"/>
      <c r="BQ217" s="153"/>
    </row>
    <row r="218" spans="1:69" x14ac:dyDescent="0.2">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c r="BO218" s="153"/>
      <c r="BP218" s="153"/>
      <c r="BQ218" s="153"/>
    </row>
    <row r="219" spans="1:69" x14ac:dyDescent="0.2">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c r="BI219" s="153"/>
      <c r="BJ219" s="153"/>
      <c r="BK219" s="153"/>
      <c r="BL219" s="153"/>
      <c r="BM219" s="153"/>
      <c r="BN219" s="153"/>
      <c r="BO219" s="153"/>
      <c r="BP219" s="153"/>
      <c r="BQ219" s="153"/>
    </row>
    <row r="220" spans="1:69" x14ac:dyDescent="0.2">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c r="BI220" s="153"/>
      <c r="BJ220" s="153"/>
      <c r="BK220" s="153"/>
      <c r="BL220" s="153"/>
      <c r="BM220" s="153"/>
      <c r="BN220" s="153"/>
      <c r="BO220" s="153"/>
      <c r="BP220" s="153"/>
      <c r="BQ220" s="153"/>
    </row>
    <row r="221" spans="1:69" x14ac:dyDescent="0.2">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c r="BI221" s="153"/>
      <c r="BJ221" s="153"/>
      <c r="BK221" s="153"/>
      <c r="BL221" s="153"/>
      <c r="BM221" s="153"/>
      <c r="BN221" s="153"/>
      <c r="BO221" s="153"/>
      <c r="BP221" s="153"/>
      <c r="BQ221" s="153"/>
    </row>
    <row r="222" spans="1:69" x14ac:dyDescent="0.2">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c r="BI222" s="153"/>
      <c r="BJ222" s="153"/>
      <c r="BK222" s="153"/>
      <c r="BL222" s="153"/>
      <c r="BM222" s="153"/>
      <c r="BN222" s="153"/>
      <c r="BO222" s="153"/>
      <c r="BP222" s="153"/>
      <c r="BQ222" s="153"/>
    </row>
    <row r="223" spans="1:69" x14ac:dyDescent="0.2">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c r="BI223" s="153"/>
      <c r="BJ223" s="153"/>
      <c r="BK223" s="153"/>
      <c r="BL223" s="153"/>
      <c r="BM223" s="153"/>
      <c r="BN223" s="153"/>
      <c r="BO223" s="153"/>
      <c r="BP223" s="153"/>
      <c r="BQ223" s="153"/>
    </row>
    <row r="224" spans="1:69" x14ac:dyDescent="0.2">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c r="BI224" s="153"/>
      <c r="BJ224" s="153"/>
      <c r="BK224" s="153"/>
      <c r="BL224" s="153"/>
      <c r="BM224" s="153"/>
      <c r="BN224" s="153"/>
      <c r="BO224" s="153"/>
      <c r="BP224" s="153"/>
      <c r="BQ224" s="153"/>
    </row>
    <row r="225" spans="1:69" x14ac:dyDescent="0.2">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c r="BI225" s="153"/>
      <c r="BJ225" s="153"/>
      <c r="BK225" s="153"/>
      <c r="BL225" s="153"/>
      <c r="BM225" s="153"/>
      <c r="BN225" s="153"/>
      <c r="BO225" s="153"/>
      <c r="BP225" s="153"/>
      <c r="BQ225" s="153"/>
    </row>
    <row r="226" spans="1:69" x14ac:dyDescent="0.2">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c r="BI226" s="153"/>
      <c r="BJ226" s="153"/>
      <c r="BK226" s="153"/>
      <c r="BL226" s="153"/>
      <c r="BM226" s="153"/>
      <c r="BN226" s="153"/>
      <c r="BO226" s="153"/>
      <c r="BP226" s="153"/>
      <c r="BQ226" s="153"/>
    </row>
    <row r="227" spans="1:69" x14ac:dyDescent="0.2">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c r="BI227" s="153"/>
      <c r="BJ227" s="153"/>
      <c r="BK227" s="153"/>
      <c r="BL227" s="153"/>
      <c r="BM227" s="153"/>
      <c r="BN227" s="153"/>
      <c r="BO227" s="153"/>
      <c r="BP227" s="153"/>
      <c r="BQ227" s="153"/>
    </row>
    <row r="228" spans="1:69" x14ac:dyDescent="0.2">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c r="BO228" s="153"/>
      <c r="BP228" s="153"/>
      <c r="BQ228" s="153"/>
    </row>
    <row r="229" spans="1:69" x14ac:dyDescent="0.2">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c r="BO229" s="153"/>
      <c r="BP229" s="153"/>
      <c r="BQ229" s="153"/>
    </row>
    <row r="230" spans="1:69" x14ac:dyDescent="0.2">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c r="BO230" s="153"/>
      <c r="BP230" s="153"/>
      <c r="BQ230" s="153"/>
    </row>
    <row r="231" spans="1:69" x14ac:dyDescent="0.2">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c r="BO231" s="153"/>
      <c r="BP231" s="153"/>
      <c r="BQ231" s="153"/>
    </row>
    <row r="232" spans="1:69" x14ac:dyDescent="0.2">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c r="BO232" s="153"/>
      <c r="BP232" s="153"/>
      <c r="BQ232" s="153"/>
    </row>
    <row r="233" spans="1:69" x14ac:dyDescent="0.2">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c r="BO233" s="153"/>
      <c r="BP233" s="153"/>
      <c r="BQ233" s="153"/>
    </row>
    <row r="234" spans="1:69" x14ac:dyDescent="0.2">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c r="BL234" s="153"/>
      <c r="BM234" s="153"/>
      <c r="BN234" s="153"/>
      <c r="BO234" s="153"/>
      <c r="BP234" s="153"/>
      <c r="BQ234" s="153"/>
    </row>
    <row r="235" spans="1:69" x14ac:dyDescent="0.2">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c r="BO235" s="153"/>
      <c r="BP235" s="153"/>
      <c r="BQ235" s="153"/>
    </row>
    <row r="236" spans="1:69" x14ac:dyDescent="0.2">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row>
    <row r="237" spans="1:69" x14ac:dyDescent="0.2">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row>
    <row r="238" spans="1:69" x14ac:dyDescent="0.2">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c r="BO238" s="153"/>
      <c r="BP238" s="153"/>
      <c r="BQ238" s="153"/>
    </row>
    <row r="239" spans="1:69" x14ac:dyDescent="0.2">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c r="BI239" s="153"/>
      <c r="BJ239" s="153"/>
      <c r="BK239" s="153"/>
      <c r="BL239" s="153"/>
      <c r="BM239" s="153"/>
      <c r="BN239" s="153"/>
      <c r="BO239" s="153"/>
      <c r="BP239" s="153"/>
      <c r="BQ239" s="153"/>
    </row>
    <row r="240" spans="1:69" x14ac:dyDescent="0.2">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c r="BO240" s="153"/>
      <c r="BP240" s="153"/>
      <c r="BQ240" s="153"/>
    </row>
    <row r="241" spans="1:69" x14ac:dyDescent="0.2">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c r="BO241" s="153"/>
      <c r="BP241" s="153"/>
      <c r="BQ241" s="153"/>
    </row>
    <row r="242" spans="1:69" x14ac:dyDescent="0.2">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c r="BI242" s="153"/>
      <c r="BJ242" s="153"/>
      <c r="BK242" s="153"/>
      <c r="BL242" s="153"/>
      <c r="BM242" s="153"/>
      <c r="BN242" s="153"/>
      <c r="BO242" s="153"/>
      <c r="BP242" s="153"/>
      <c r="BQ242" s="153"/>
    </row>
    <row r="243" spans="1:69" x14ac:dyDescent="0.2">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c r="BI243" s="153"/>
      <c r="BJ243" s="153"/>
      <c r="BK243" s="153"/>
      <c r="BL243" s="153"/>
      <c r="BM243" s="153"/>
      <c r="BN243" s="153"/>
      <c r="BO243" s="153"/>
      <c r="BP243" s="153"/>
      <c r="BQ243" s="153"/>
    </row>
    <row r="244" spans="1:69" x14ac:dyDescent="0.2">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c r="BI244" s="153"/>
      <c r="BJ244" s="153"/>
      <c r="BK244" s="153"/>
      <c r="BL244" s="153"/>
      <c r="BM244" s="153"/>
      <c r="BN244" s="153"/>
      <c r="BO244" s="153"/>
      <c r="BP244" s="153"/>
      <c r="BQ244" s="153"/>
    </row>
    <row r="245" spans="1:69" x14ac:dyDescent="0.2">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c r="BI245" s="153"/>
      <c r="BJ245" s="153"/>
      <c r="BK245" s="153"/>
      <c r="BL245" s="153"/>
      <c r="BM245" s="153"/>
      <c r="BN245" s="153"/>
      <c r="BO245" s="153"/>
      <c r="BP245" s="153"/>
      <c r="BQ245" s="153"/>
    </row>
    <row r="246" spans="1:69" x14ac:dyDescent="0.2">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c r="BI246" s="153"/>
      <c r="BJ246" s="153"/>
      <c r="BK246" s="153"/>
      <c r="BL246" s="153"/>
      <c r="BM246" s="153"/>
      <c r="BN246" s="153"/>
      <c r="BO246" s="153"/>
      <c r="BP246" s="153"/>
      <c r="BQ246" s="153"/>
    </row>
    <row r="247" spans="1:69" x14ac:dyDescent="0.2">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c r="BI247" s="153"/>
      <c r="BJ247" s="153"/>
      <c r="BK247" s="153"/>
      <c r="BL247" s="153"/>
      <c r="BM247" s="153"/>
      <c r="BN247" s="153"/>
      <c r="BO247" s="153"/>
      <c r="BP247" s="153"/>
      <c r="BQ247" s="153"/>
    </row>
    <row r="248" spans="1:69" x14ac:dyDescent="0.2">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c r="BI248" s="153"/>
      <c r="BJ248" s="153"/>
      <c r="BK248" s="153"/>
      <c r="BL248" s="153"/>
      <c r="BM248" s="153"/>
      <c r="BN248" s="153"/>
      <c r="BO248" s="153"/>
      <c r="BP248" s="153"/>
      <c r="BQ248" s="153"/>
    </row>
    <row r="249" spans="1:69" x14ac:dyDescent="0.2">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c r="BO249" s="153"/>
      <c r="BP249" s="153"/>
      <c r="BQ249" s="153"/>
    </row>
    <row r="250" spans="1:69" x14ac:dyDescent="0.2">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c r="BI250" s="153"/>
      <c r="BJ250" s="153"/>
      <c r="BK250" s="153"/>
      <c r="BL250" s="153"/>
      <c r="BM250" s="153"/>
      <c r="BN250" s="153"/>
      <c r="BO250" s="153"/>
      <c r="BP250" s="153"/>
      <c r="BQ250" s="153"/>
    </row>
    <row r="251" spans="1:69" x14ac:dyDescent="0.2">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c r="BK251" s="153"/>
      <c r="BL251" s="153"/>
      <c r="BM251" s="153"/>
      <c r="BN251" s="153"/>
      <c r="BO251" s="153"/>
      <c r="BP251" s="153"/>
      <c r="BQ251" s="153"/>
    </row>
    <row r="252" spans="1:69" x14ac:dyDescent="0.2">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153"/>
      <c r="BK252" s="153"/>
      <c r="BL252" s="153"/>
      <c r="BM252" s="153"/>
      <c r="BN252" s="153"/>
      <c r="BO252" s="153"/>
      <c r="BP252" s="153"/>
      <c r="BQ252" s="153"/>
    </row>
    <row r="253" spans="1:69" x14ac:dyDescent="0.2">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c r="BO253" s="153"/>
      <c r="BP253" s="153"/>
      <c r="BQ253" s="153"/>
    </row>
    <row r="254" spans="1:69" x14ac:dyDescent="0.2">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c r="BI254" s="153"/>
      <c r="BJ254" s="153"/>
      <c r="BK254" s="153"/>
      <c r="BL254" s="153"/>
      <c r="BM254" s="153"/>
      <c r="BN254" s="153"/>
      <c r="BO254" s="153"/>
      <c r="BP254" s="153"/>
      <c r="BQ254" s="153"/>
    </row>
    <row r="255" spans="1:69" x14ac:dyDescent="0.2">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3"/>
    </row>
    <row r="256" spans="1:69" x14ac:dyDescent="0.2">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c r="BO256" s="153"/>
      <c r="BP256" s="153"/>
      <c r="BQ256" s="153"/>
    </row>
    <row r="257" spans="1:69" x14ac:dyDescent="0.2">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c r="BI257" s="153"/>
      <c r="BJ257" s="153"/>
      <c r="BK257" s="153"/>
      <c r="BL257" s="153"/>
      <c r="BM257" s="153"/>
      <c r="BN257" s="153"/>
      <c r="BO257" s="153"/>
      <c r="BP257" s="153"/>
      <c r="BQ257" s="153"/>
    </row>
    <row r="258" spans="1:69" x14ac:dyDescent="0.2">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c r="BI258" s="153"/>
      <c r="BJ258" s="153"/>
      <c r="BK258" s="153"/>
      <c r="BL258" s="153"/>
      <c r="BM258" s="153"/>
      <c r="BN258" s="153"/>
      <c r="BO258" s="153"/>
      <c r="BP258" s="153"/>
      <c r="BQ258" s="153"/>
    </row>
    <row r="259" spans="1:69" x14ac:dyDescent="0.2">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c r="BI259" s="153"/>
      <c r="BJ259" s="153"/>
      <c r="BK259" s="153"/>
      <c r="BL259" s="153"/>
      <c r="BM259" s="153"/>
      <c r="BN259" s="153"/>
      <c r="BO259" s="153"/>
      <c r="BP259" s="153"/>
      <c r="BQ259" s="153"/>
    </row>
    <row r="260" spans="1:69" x14ac:dyDescent="0.2">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c r="BI260" s="153"/>
      <c r="BJ260" s="153"/>
      <c r="BK260" s="153"/>
      <c r="BL260" s="153"/>
      <c r="BM260" s="153"/>
      <c r="BN260" s="153"/>
      <c r="BO260" s="153"/>
      <c r="BP260" s="153"/>
      <c r="BQ260" s="153"/>
    </row>
    <row r="261" spans="1:69" x14ac:dyDescent="0.2">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c r="BO261" s="153"/>
      <c r="BP261" s="153"/>
      <c r="BQ261" s="153"/>
    </row>
    <row r="262" spans="1:69" x14ac:dyDescent="0.2">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c r="BI262" s="153"/>
      <c r="BJ262" s="153"/>
      <c r="BK262" s="153"/>
      <c r="BL262" s="153"/>
      <c r="BM262" s="153"/>
      <c r="BN262" s="153"/>
      <c r="BO262" s="153"/>
      <c r="BP262" s="153"/>
      <c r="BQ262" s="153"/>
    </row>
    <row r="263" spans="1:69" x14ac:dyDescent="0.2">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c r="BI263" s="153"/>
      <c r="BJ263" s="153"/>
      <c r="BK263" s="153"/>
      <c r="BL263" s="153"/>
      <c r="BM263" s="153"/>
      <c r="BN263" s="153"/>
      <c r="BO263" s="153"/>
      <c r="BP263" s="153"/>
      <c r="BQ263" s="153"/>
    </row>
    <row r="264" spans="1:69" x14ac:dyDescent="0.2">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c r="BI264" s="153"/>
      <c r="BJ264" s="153"/>
      <c r="BK264" s="153"/>
      <c r="BL264" s="153"/>
      <c r="BM264" s="153"/>
      <c r="BN264" s="153"/>
      <c r="BO264" s="153"/>
      <c r="BP264" s="153"/>
      <c r="BQ264" s="153"/>
    </row>
    <row r="265" spans="1:69" x14ac:dyDescent="0.2">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c r="BI265" s="153"/>
      <c r="BJ265" s="153"/>
      <c r="BK265" s="153"/>
      <c r="BL265" s="153"/>
      <c r="BM265" s="153"/>
      <c r="BN265" s="153"/>
      <c r="BO265" s="153"/>
      <c r="BP265" s="153"/>
      <c r="BQ265" s="153"/>
    </row>
    <row r="266" spans="1:69" x14ac:dyDescent="0.2">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c r="BI266" s="153"/>
      <c r="BJ266" s="153"/>
      <c r="BK266" s="153"/>
      <c r="BL266" s="153"/>
      <c r="BM266" s="153"/>
      <c r="BN266" s="153"/>
      <c r="BO266" s="153"/>
      <c r="BP266" s="153"/>
      <c r="BQ266" s="153"/>
    </row>
    <row r="267" spans="1:69" x14ac:dyDescent="0.2">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c r="BI267" s="153"/>
      <c r="BJ267" s="153"/>
      <c r="BK267" s="153"/>
      <c r="BL267" s="153"/>
      <c r="BM267" s="153"/>
      <c r="BN267" s="153"/>
      <c r="BO267" s="153"/>
      <c r="BP267" s="153"/>
      <c r="BQ267" s="153"/>
    </row>
    <row r="268" spans="1:69" x14ac:dyDescent="0.2">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c r="BI268" s="153"/>
      <c r="BJ268" s="153"/>
      <c r="BK268" s="153"/>
      <c r="BL268" s="153"/>
      <c r="BM268" s="153"/>
      <c r="BN268" s="153"/>
      <c r="BO268" s="153"/>
      <c r="BP268" s="153"/>
      <c r="BQ268" s="153"/>
    </row>
    <row r="269" spans="1:69" x14ac:dyDescent="0.2">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153"/>
      <c r="BL269" s="153"/>
      <c r="BM269" s="153"/>
      <c r="BN269" s="153"/>
      <c r="BO269" s="153"/>
      <c r="BP269" s="153"/>
      <c r="BQ269" s="153"/>
    </row>
    <row r="270" spans="1:69" x14ac:dyDescent="0.2">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c r="BI270" s="153"/>
      <c r="BJ270" s="153"/>
      <c r="BK270" s="153"/>
      <c r="BL270" s="153"/>
      <c r="BM270" s="153"/>
      <c r="BN270" s="153"/>
      <c r="BO270" s="153"/>
      <c r="BP270" s="153"/>
      <c r="BQ270" s="153"/>
    </row>
    <row r="271" spans="1:69" x14ac:dyDescent="0.2">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c r="BI271" s="153"/>
      <c r="BJ271" s="153"/>
      <c r="BK271" s="153"/>
      <c r="BL271" s="153"/>
      <c r="BM271" s="153"/>
      <c r="BN271" s="153"/>
      <c r="BO271" s="153"/>
      <c r="BP271" s="153"/>
      <c r="BQ271" s="153"/>
    </row>
    <row r="272" spans="1:69" x14ac:dyDescent="0.2">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c r="BI272" s="153"/>
      <c r="BJ272" s="153"/>
      <c r="BK272" s="153"/>
      <c r="BL272" s="153"/>
      <c r="BM272" s="153"/>
      <c r="BN272" s="153"/>
      <c r="BO272" s="153"/>
      <c r="BP272" s="153"/>
      <c r="BQ272" s="153"/>
    </row>
    <row r="273" spans="1:69" x14ac:dyDescent="0.2">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c r="BI273" s="153"/>
      <c r="BJ273" s="153"/>
      <c r="BK273" s="153"/>
      <c r="BL273" s="153"/>
      <c r="BM273" s="153"/>
      <c r="BN273" s="153"/>
      <c r="BO273" s="153"/>
      <c r="BP273" s="153"/>
      <c r="BQ273" s="153"/>
    </row>
    <row r="274" spans="1:69" x14ac:dyDescent="0.2">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c r="BI274" s="153"/>
      <c r="BJ274" s="153"/>
      <c r="BK274" s="153"/>
      <c r="BL274" s="153"/>
      <c r="BM274" s="153"/>
      <c r="BN274" s="153"/>
      <c r="BO274" s="153"/>
      <c r="BP274" s="153"/>
      <c r="BQ274" s="153"/>
    </row>
    <row r="275" spans="1:69" x14ac:dyDescent="0.2">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c r="BI275" s="153"/>
      <c r="BJ275" s="153"/>
      <c r="BK275" s="153"/>
      <c r="BL275" s="153"/>
      <c r="BM275" s="153"/>
      <c r="BN275" s="153"/>
      <c r="BO275" s="153"/>
      <c r="BP275" s="153"/>
      <c r="BQ275" s="153"/>
    </row>
    <row r="276" spans="1:69" x14ac:dyDescent="0.2">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c r="BI276" s="153"/>
      <c r="BJ276" s="153"/>
      <c r="BK276" s="153"/>
      <c r="BL276" s="153"/>
      <c r="BM276" s="153"/>
      <c r="BN276" s="153"/>
      <c r="BO276" s="153"/>
      <c r="BP276" s="153"/>
      <c r="BQ276" s="153"/>
    </row>
    <row r="277" spans="1:69" x14ac:dyDescent="0.2">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c r="BI277" s="153"/>
      <c r="BJ277" s="153"/>
      <c r="BK277" s="153"/>
      <c r="BL277" s="153"/>
      <c r="BM277" s="153"/>
      <c r="BN277" s="153"/>
      <c r="BO277" s="153"/>
      <c r="BP277" s="153"/>
      <c r="BQ277" s="153"/>
    </row>
    <row r="278" spans="1:69" x14ac:dyDescent="0.2">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c r="BI278" s="153"/>
      <c r="BJ278" s="153"/>
      <c r="BK278" s="153"/>
      <c r="BL278" s="153"/>
      <c r="BM278" s="153"/>
      <c r="BN278" s="153"/>
      <c r="BO278" s="153"/>
      <c r="BP278" s="153"/>
      <c r="BQ278" s="153"/>
    </row>
    <row r="279" spans="1:69" x14ac:dyDescent="0.2">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c r="BI279" s="153"/>
      <c r="BJ279" s="153"/>
      <c r="BK279" s="153"/>
      <c r="BL279" s="153"/>
      <c r="BM279" s="153"/>
      <c r="BN279" s="153"/>
      <c r="BO279" s="153"/>
      <c r="BP279" s="153"/>
      <c r="BQ279" s="153"/>
    </row>
    <row r="280" spans="1:69" x14ac:dyDescent="0.2">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c r="BI280" s="153"/>
      <c r="BJ280" s="153"/>
      <c r="BK280" s="153"/>
      <c r="BL280" s="153"/>
      <c r="BM280" s="153"/>
      <c r="BN280" s="153"/>
      <c r="BO280" s="153"/>
      <c r="BP280" s="153"/>
      <c r="BQ280" s="153"/>
    </row>
    <row r="281" spans="1:69" x14ac:dyDescent="0.2">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3"/>
      <c r="BK281" s="153"/>
      <c r="BL281" s="153"/>
      <c r="BM281" s="153"/>
      <c r="BN281" s="153"/>
      <c r="BO281" s="153"/>
      <c r="BP281" s="153"/>
      <c r="BQ281" s="153"/>
    </row>
    <row r="282" spans="1:69" x14ac:dyDescent="0.2">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c r="BI282" s="153"/>
      <c r="BJ282" s="153"/>
      <c r="BK282" s="153"/>
      <c r="BL282" s="153"/>
      <c r="BM282" s="153"/>
      <c r="BN282" s="153"/>
      <c r="BO282" s="153"/>
      <c r="BP282" s="153"/>
      <c r="BQ282" s="153"/>
    </row>
    <row r="283" spans="1:69" x14ac:dyDescent="0.2">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3"/>
      <c r="BM283" s="153"/>
      <c r="BN283" s="153"/>
      <c r="BO283" s="153"/>
      <c r="BP283" s="153"/>
      <c r="BQ283" s="153"/>
    </row>
    <row r="284" spans="1:69" x14ac:dyDescent="0.2">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3"/>
      <c r="BN284" s="153"/>
      <c r="BO284" s="153"/>
      <c r="BP284" s="153"/>
      <c r="BQ284" s="153"/>
    </row>
    <row r="285" spans="1:69" x14ac:dyDescent="0.2">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c r="BO285" s="153"/>
      <c r="BP285" s="153"/>
      <c r="BQ285" s="153"/>
    </row>
    <row r="286" spans="1:69" x14ac:dyDescent="0.2">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c r="BO286" s="153"/>
      <c r="BP286" s="153"/>
      <c r="BQ286" s="153"/>
    </row>
    <row r="287" spans="1:69" x14ac:dyDescent="0.2">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c r="BO287" s="153"/>
      <c r="BP287" s="153"/>
      <c r="BQ287" s="153"/>
    </row>
    <row r="288" spans="1:69" x14ac:dyDescent="0.2">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3"/>
    </row>
    <row r="289" spans="1:69" x14ac:dyDescent="0.2">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row>
    <row r="290" spans="1:69" x14ac:dyDescent="0.2">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row>
    <row r="291" spans="1:69" x14ac:dyDescent="0.2">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row>
    <row r="292" spans="1:69" x14ac:dyDescent="0.2">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row>
    <row r="293" spans="1:69" x14ac:dyDescent="0.2">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row>
    <row r="294" spans="1:69" x14ac:dyDescent="0.2">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row>
    <row r="295" spans="1:69" x14ac:dyDescent="0.2">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row>
    <row r="296" spans="1:69" x14ac:dyDescent="0.2">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row>
    <row r="297" spans="1:69" x14ac:dyDescent="0.2">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row>
    <row r="298" spans="1:69" x14ac:dyDescent="0.2">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row>
    <row r="299" spans="1:69" x14ac:dyDescent="0.2">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row>
    <row r="300" spans="1:69" x14ac:dyDescent="0.2">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row>
    <row r="301" spans="1:69" x14ac:dyDescent="0.2">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row>
    <row r="302" spans="1:69" x14ac:dyDescent="0.2">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c r="BI302" s="153"/>
      <c r="BJ302" s="153"/>
      <c r="BK302" s="153"/>
      <c r="BL302" s="153"/>
      <c r="BM302" s="153"/>
      <c r="BN302" s="153"/>
      <c r="BO302" s="153"/>
      <c r="BP302" s="153"/>
      <c r="BQ302" s="153"/>
    </row>
    <row r="303" spans="1:69" x14ac:dyDescent="0.2">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row>
    <row r="304" spans="1:69" x14ac:dyDescent="0.2">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c r="BI304" s="153"/>
      <c r="BJ304" s="153"/>
      <c r="BK304" s="153"/>
      <c r="BL304" s="153"/>
      <c r="BM304" s="153"/>
      <c r="BN304" s="153"/>
      <c r="BO304" s="153"/>
      <c r="BP304" s="153"/>
      <c r="BQ304" s="153"/>
    </row>
    <row r="305" spans="1:69" x14ac:dyDescent="0.2">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c r="BI305" s="153"/>
      <c r="BJ305" s="153"/>
      <c r="BK305" s="153"/>
      <c r="BL305" s="153"/>
      <c r="BM305" s="153"/>
      <c r="BN305" s="153"/>
      <c r="BO305" s="153"/>
      <c r="BP305" s="153"/>
      <c r="BQ305" s="153"/>
    </row>
    <row r="306" spans="1:69" x14ac:dyDescent="0.2">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c r="BI306" s="153"/>
      <c r="BJ306" s="153"/>
      <c r="BK306" s="153"/>
      <c r="BL306" s="153"/>
      <c r="BM306" s="153"/>
      <c r="BN306" s="153"/>
      <c r="BO306" s="153"/>
      <c r="BP306" s="153"/>
      <c r="BQ306" s="153"/>
    </row>
    <row r="307" spans="1:69" x14ac:dyDescent="0.2">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c r="BI307" s="153"/>
      <c r="BJ307" s="153"/>
      <c r="BK307" s="153"/>
      <c r="BL307" s="153"/>
      <c r="BM307" s="153"/>
      <c r="BN307" s="153"/>
      <c r="BO307" s="153"/>
      <c r="BP307" s="153"/>
      <c r="BQ307" s="153"/>
    </row>
    <row r="308" spans="1:69" x14ac:dyDescent="0.2">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153"/>
      <c r="BJ308" s="153"/>
      <c r="BK308" s="153"/>
      <c r="BL308" s="153"/>
      <c r="BM308" s="153"/>
      <c r="BN308" s="153"/>
      <c r="BO308" s="153"/>
      <c r="BP308" s="153"/>
      <c r="BQ308" s="153"/>
    </row>
    <row r="309" spans="1:69" x14ac:dyDescent="0.2">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c r="BO309" s="153"/>
      <c r="BP309" s="153"/>
      <c r="BQ309" s="153"/>
    </row>
    <row r="310" spans="1:69" x14ac:dyDescent="0.2">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c r="BI310" s="153"/>
      <c r="BJ310" s="153"/>
      <c r="BK310" s="153"/>
      <c r="BL310" s="153"/>
      <c r="BM310" s="153"/>
      <c r="BN310" s="153"/>
      <c r="BO310" s="153"/>
      <c r="BP310" s="153"/>
      <c r="BQ310" s="153"/>
    </row>
    <row r="311" spans="1:69" x14ac:dyDescent="0.2">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c r="BI311" s="153"/>
      <c r="BJ311" s="153"/>
      <c r="BK311" s="153"/>
      <c r="BL311" s="153"/>
      <c r="BM311" s="153"/>
      <c r="BN311" s="153"/>
      <c r="BO311" s="153"/>
      <c r="BP311" s="153"/>
      <c r="BQ311" s="153"/>
    </row>
    <row r="312" spans="1:69" x14ac:dyDescent="0.2">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c r="BI312" s="153"/>
      <c r="BJ312" s="153"/>
      <c r="BK312" s="153"/>
      <c r="BL312" s="153"/>
      <c r="BM312" s="153"/>
      <c r="BN312" s="153"/>
      <c r="BO312" s="153"/>
      <c r="BP312" s="153"/>
      <c r="BQ312" s="153"/>
    </row>
    <row r="313" spans="1:69" x14ac:dyDescent="0.2">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c r="BI313" s="153"/>
      <c r="BJ313" s="153"/>
      <c r="BK313" s="153"/>
      <c r="BL313" s="153"/>
      <c r="BM313" s="153"/>
      <c r="BN313" s="153"/>
      <c r="BO313" s="153"/>
      <c r="BP313" s="153"/>
      <c r="BQ313" s="153"/>
    </row>
    <row r="314" spans="1:69" x14ac:dyDescent="0.2">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c r="BI314" s="153"/>
      <c r="BJ314" s="153"/>
      <c r="BK314" s="153"/>
      <c r="BL314" s="153"/>
      <c r="BM314" s="153"/>
      <c r="BN314" s="153"/>
      <c r="BO314" s="153"/>
      <c r="BP314" s="153"/>
      <c r="BQ314" s="153"/>
    </row>
    <row r="315" spans="1:69" x14ac:dyDescent="0.2">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c r="BI315" s="153"/>
      <c r="BJ315" s="153"/>
      <c r="BK315" s="153"/>
      <c r="BL315" s="153"/>
      <c r="BM315" s="153"/>
      <c r="BN315" s="153"/>
      <c r="BO315" s="153"/>
      <c r="BP315" s="153"/>
      <c r="BQ315" s="153"/>
    </row>
    <row r="316" spans="1:69" x14ac:dyDescent="0.2">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153"/>
      <c r="BJ316" s="153"/>
      <c r="BK316" s="153"/>
      <c r="BL316" s="153"/>
      <c r="BM316" s="153"/>
      <c r="BN316" s="153"/>
      <c r="BO316" s="153"/>
      <c r="BP316" s="153"/>
      <c r="BQ316" s="153"/>
    </row>
    <row r="317" spans="1:69" x14ac:dyDescent="0.2">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c r="BO317" s="153"/>
      <c r="BP317" s="153"/>
      <c r="BQ317" s="153"/>
    </row>
    <row r="318" spans="1:69" x14ac:dyDescent="0.2">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c r="BI318" s="153"/>
      <c r="BJ318" s="153"/>
      <c r="BK318" s="153"/>
      <c r="BL318" s="153"/>
      <c r="BM318" s="153"/>
      <c r="BN318" s="153"/>
      <c r="BO318" s="153"/>
      <c r="BP318" s="153"/>
      <c r="BQ318" s="153"/>
    </row>
    <row r="319" spans="1:69" x14ac:dyDescent="0.2">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c r="BO319" s="153"/>
      <c r="BP319" s="153"/>
      <c r="BQ319" s="153"/>
    </row>
    <row r="320" spans="1:69" x14ac:dyDescent="0.2">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c r="BO320" s="153"/>
      <c r="BP320" s="153"/>
      <c r="BQ320" s="153"/>
    </row>
    <row r="321" spans="1:69" x14ac:dyDescent="0.2">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c r="BL321" s="153"/>
      <c r="BM321" s="153"/>
      <c r="BN321" s="153"/>
      <c r="BO321" s="153"/>
      <c r="BP321" s="153"/>
      <c r="BQ321" s="153"/>
    </row>
    <row r="322" spans="1:69" x14ac:dyDescent="0.2">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c r="BO322" s="153"/>
      <c r="BP322" s="153"/>
      <c r="BQ322" s="153"/>
    </row>
    <row r="323" spans="1:69" x14ac:dyDescent="0.2">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c r="BO323" s="153"/>
      <c r="BP323" s="153"/>
      <c r="BQ323" s="153"/>
    </row>
    <row r="324" spans="1:69" x14ac:dyDescent="0.2">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c r="BK324" s="153"/>
      <c r="BL324" s="153"/>
      <c r="BM324" s="153"/>
      <c r="BN324" s="153"/>
      <c r="BO324" s="153"/>
      <c r="BP324" s="153"/>
      <c r="BQ324" s="153"/>
    </row>
    <row r="325" spans="1:69" x14ac:dyDescent="0.2">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c r="BK325" s="153"/>
      <c r="BL325" s="153"/>
      <c r="BM325" s="153"/>
      <c r="BN325" s="153"/>
      <c r="BO325" s="153"/>
      <c r="BP325" s="153"/>
      <c r="BQ325" s="153"/>
    </row>
    <row r="326" spans="1:69" x14ac:dyDescent="0.2">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c r="BO326" s="153"/>
      <c r="BP326" s="153"/>
      <c r="BQ326" s="153"/>
    </row>
    <row r="327" spans="1:69" x14ac:dyDescent="0.2">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3"/>
      <c r="BO327" s="153"/>
      <c r="BP327" s="153"/>
      <c r="BQ327" s="153"/>
    </row>
    <row r="328" spans="1:69" x14ac:dyDescent="0.2">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c r="BO328" s="153"/>
      <c r="BP328" s="153"/>
      <c r="BQ328" s="153"/>
    </row>
    <row r="329" spans="1:69" x14ac:dyDescent="0.2">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c r="BO329" s="153"/>
      <c r="BP329" s="153"/>
      <c r="BQ329" s="153"/>
    </row>
    <row r="330" spans="1:69" x14ac:dyDescent="0.2">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c r="BO330" s="153"/>
      <c r="BP330" s="153"/>
      <c r="BQ330" s="153"/>
    </row>
    <row r="331" spans="1:69" x14ac:dyDescent="0.2">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row>
    <row r="332" spans="1:69" x14ac:dyDescent="0.2">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row>
    <row r="333" spans="1:69" x14ac:dyDescent="0.2">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row>
    <row r="334" spans="1:69" x14ac:dyDescent="0.2">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row>
    <row r="335" spans="1:69" x14ac:dyDescent="0.2">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row>
    <row r="336" spans="1:69" x14ac:dyDescent="0.2">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row>
    <row r="337" spans="1:69" x14ac:dyDescent="0.2">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row>
    <row r="338" spans="1:69" x14ac:dyDescent="0.2">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c r="BO338" s="153"/>
      <c r="BP338" s="153"/>
      <c r="BQ338" s="153"/>
    </row>
    <row r="339" spans="1:69" x14ac:dyDescent="0.2">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c r="BO339" s="153"/>
      <c r="BP339" s="153"/>
      <c r="BQ339" s="153"/>
    </row>
    <row r="340" spans="1:69" x14ac:dyDescent="0.2">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c r="BI340" s="153"/>
      <c r="BJ340" s="153"/>
      <c r="BK340" s="153"/>
      <c r="BL340" s="153"/>
      <c r="BM340" s="153"/>
      <c r="BN340" s="153"/>
      <c r="BO340" s="153"/>
      <c r="BP340" s="153"/>
      <c r="BQ340" s="153"/>
    </row>
    <row r="341" spans="1:69" x14ac:dyDescent="0.2">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c r="BI341" s="153"/>
      <c r="BJ341" s="153"/>
      <c r="BK341" s="153"/>
      <c r="BL341" s="153"/>
      <c r="BM341" s="153"/>
      <c r="BN341" s="153"/>
      <c r="BO341" s="153"/>
      <c r="BP341" s="153"/>
      <c r="BQ341" s="153"/>
    </row>
    <row r="342" spans="1:69" x14ac:dyDescent="0.2">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c r="BO342" s="153"/>
      <c r="BP342" s="153"/>
      <c r="BQ342" s="153"/>
    </row>
    <row r="343" spans="1:69" x14ac:dyDescent="0.2">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row>
    <row r="344" spans="1:69" x14ac:dyDescent="0.2">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row>
    <row r="345" spans="1:69" x14ac:dyDescent="0.2">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c r="BO345" s="153"/>
      <c r="BP345" s="153"/>
      <c r="BQ345" s="153"/>
    </row>
    <row r="346" spans="1:69" x14ac:dyDescent="0.2">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c r="BO346" s="153"/>
      <c r="BP346" s="153"/>
      <c r="BQ346" s="153"/>
    </row>
    <row r="347" spans="1:69" x14ac:dyDescent="0.2">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3"/>
    </row>
    <row r="348" spans="1:69" x14ac:dyDescent="0.2">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c r="BO348" s="153"/>
      <c r="BP348" s="153"/>
      <c r="BQ348" s="153"/>
    </row>
    <row r="349" spans="1:69" x14ac:dyDescent="0.2">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c r="BO349" s="153"/>
      <c r="BP349" s="153"/>
      <c r="BQ349" s="153"/>
    </row>
    <row r="350" spans="1:69" x14ac:dyDescent="0.2">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c r="BO350" s="153"/>
      <c r="BP350" s="153"/>
      <c r="BQ350" s="153"/>
    </row>
  </sheetData>
  <sheetProtection selectLockedCells="1"/>
  <mergeCells count="6">
    <mergeCell ref="C48:E48"/>
    <mergeCell ref="C50:E50"/>
    <mergeCell ref="C18:E18"/>
    <mergeCell ref="C5:E5"/>
    <mergeCell ref="C36:E36"/>
    <mergeCell ref="C41:E41"/>
  </mergeCells>
  <phoneticPr fontId="2" type="noConversion"/>
  <pageMargins left="0.25" right="0.25" top="0.75" bottom="0.75" header="0.3" footer="0.3"/>
  <pageSetup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
  <sheetViews>
    <sheetView showGridLines="0" showRowColHeaders="0" zoomScale="90" zoomScaleNormal="90" workbookViewId="0">
      <pane ySplit="1" topLeftCell="A2" activePane="bottomLeft" state="frozen"/>
      <selection activeCell="Q26" sqref="Q26"/>
      <selection pane="bottomLeft" activeCell="A32" sqref="A32"/>
    </sheetView>
  </sheetViews>
  <sheetFormatPr baseColWidth="10" defaultColWidth="10.85546875" defaultRowHeight="12.75" x14ac:dyDescent="0.2"/>
  <cols>
    <col min="1" max="2" width="2.140625" style="153" customWidth="1"/>
    <col min="3" max="4" width="10" style="153" customWidth="1"/>
    <col min="5" max="8" width="10.7109375" style="153" customWidth="1"/>
    <col min="9" max="9" width="8.7109375" style="153" customWidth="1"/>
    <col min="10" max="13" width="10.7109375" style="153" customWidth="1"/>
    <col min="14" max="14" width="9.7109375" style="153" customWidth="1"/>
    <col min="15" max="15" width="10.7109375" style="153" customWidth="1"/>
    <col min="16" max="16384" width="10.85546875" style="153"/>
  </cols>
  <sheetData>
    <row r="1" spans="1:15" ht="144" customHeight="1" x14ac:dyDescent="0.2">
      <c r="A1"/>
      <c r="B1"/>
      <c r="C1"/>
      <c r="D1"/>
      <c r="E1"/>
      <c r="F1"/>
      <c r="G1"/>
      <c r="H1"/>
      <c r="I1"/>
      <c r="J1"/>
      <c r="K1"/>
      <c r="L1"/>
      <c r="M1"/>
      <c r="N1"/>
    </row>
    <row r="2" spans="1:15" ht="15" x14ac:dyDescent="0.25">
      <c r="A2"/>
      <c r="B2"/>
      <c r="C2"/>
      <c r="D2"/>
      <c r="E2"/>
      <c r="F2"/>
      <c r="G2"/>
      <c r="H2"/>
      <c r="I2" s="158"/>
      <c r="J2" s="159"/>
      <c r="K2" s="5"/>
      <c r="L2" s="5"/>
      <c r="M2" s="160"/>
      <c r="N2" s="5"/>
      <c r="O2" s="154"/>
    </row>
    <row r="3" spans="1:15" ht="22.5" customHeight="1" x14ac:dyDescent="0.25">
      <c r="A3"/>
      <c r="B3"/>
      <c r="C3" s="230" t="s">
        <v>124</v>
      </c>
      <c r="D3" s="233"/>
      <c r="E3" s="125"/>
      <c r="F3" s="125"/>
      <c r="G3" s="124"/>
      <c r="H3" s="125"/>
      <c r="I3" s="126"/>
      <c r="J3" s="127"/>
      <c r="K3" s="128"/>
      <c r="L3" s="125"/>
      <c r="M3" s="124"/>
      <c r="N3" s="129"/>
      <c r="O3" s="155"/>
    </row>
    <row r="4" spans="1:15" ht="12.75" customHeight="1" x14ac:dyDescent="0.3">
      <c r="A4"/>
      <c r="B4"/>
      <c r="C4"/>
      <c r="D4"/>
      <c r="E4" s="161"/>
      <c r="F4" s="3"/>
      <c r="G4" s="2"/>
      <c r="H4" s="3"/>
      <c r="I4"/>
      <c r="J4" s="122"/>
      <c r="K4" s="122"/>
      <c r="L4" s="3"/>
      <c r="M4" s="2"/>
      <c r="N4" s="1"/>
      <c r="O4" s="155"/>
    </row>
    <row r="5" spans="1:15" ht="22.5" customHeight="1" x14ac:dyDescent="0.3">
      <c r="A5"/>
      <c r="B5"/>
      <c r="C5"/>
      <c r="D5"/>
      <c r="E5" s="161"/>
      <c r="F5" s="3"/>
      <c r="G5" s="2"/>
      <c r="H5" s="3"/>
      <c r="I5"/>
      <c r="J5" s="133">
        <f>'Résultats vs 2023'!C47</f>
        <v>2024</v>
      </c>
      <c r="K5" s="133">
        <f>J5+1</f>
        <v>2025</v>
      </c>
      <c r="L5" s="3"/>
      <c r="M5" s="2"/>
      <c r="N5" s="1"/>
      <c r="O5" s="155"/>
    </row>
    <row r="6" spans="1:15" ht="22.5" customHeight="1" x14ac:dyDescent="0.3">
      <c r="A6"/>
      <c r="B6"/>
      <c r="C6"/>
      <c r="D6"/>
      <c r="E6" s="161"/>
      <c r="F6" s="3"/>
      <c r="G6" s="2"/>
      <c r="H6" s="123" t="s">
        <v>66</v>
      </c>
      <c r="I6" s="162" t="str">
        <f>I$11</f>
        <v>$ /100 kg</v>
      </c>
      <c r="J6" s="144">
        <f>Saisie!O22</f>
        <v>234.81533993641861</v>
      </c>
      <c r="K6" s="144">
        <f>Saisie!P22</f>
        <v>236.55739324897542</v>
      </c>
      <c r="L6" s="117"/>
      <c r="M6" s="2"/>
      <c r="N6" s="1"/>
      <c r="O6" s="155"/>
    </row>
    <row r="7" spans="1:15" ht="14.1" customHeight="1" x14ac:dyDescent="0.3">
      <c r="A7"/>
      <c r="B7"/>
      <c r="C7"/>
      <c r="D7"/>
      <c r="E7" s="161"/>
      <c r="F7" s="3"/>
      <c r="G7" s="2"/>
      <c r="H7" s="59" t="s">
        <v>92</v>
      </c>
      <c r="I7" s="162" t="str">
        <f>I$11</f>
        <v>$ /100 kg</v>
      </c>
      <c r="J7" s="145">
        <f>(-Saisie!O20/Saisie!O19)*100</f>
        <v>0</v>
      </c>
      <c r="K7" s="145">
        <f>(-Saisie!P20/Saisie!O19)*100</f>
        <v>0</v>
      </c>
      <c r="L7" s="118"/>
      <c r="M7" s="2"/>
      <c r="N7" s="1"/>
      <c r="O7" s="155"/>
    </row>
    <row r="8" spans="1:15" ht="14.1" customHeight="1" x14ac:dyDescent="0.35">
      <c r="A8"/>
      <c r="B8"/>
      <c r="C8"/>
      <c r="D8"/>
      <c r="E8" s="161"/>
      <c r="F8" s="3"/>
      <c r="G8" s="2"/>
      <c r="H8" s="132" t="s">
        <v>93</v>
      </c>
      <c r="I8" s="163" t="str">
        <f>I$11</f>
        <v>$ /100 kg</v>
      </c>
      <c r="J8" s="146">
        <f>(-Saisie!O21/Saisie!O19)*100</f>
        <v>-1.4260407440212577</v>
      </c>
      <c r="K8" s="146">
        <f>(-Saisie!P21/Saisie!P19)*100</f>
        <v>-1.4260407440212577</v>
      </c>
      <c r="L8" s="118"/>
      <c r="M8" s="2"/>
      <c r="N8" s="1"/>
      <c r="O8" s="155"/>
    </row>
    <row r="9" spans="1:15" ht="22.5" customHeight="1" x14ac:dyDescent="0.2">
      <c r="A9"/>
      <c r="B9"/>
      <c r="C9"/>
      <c r="D9"/>
      <c r="E9"/>
      <c r="F9" s="164" t="s">
        <v>88</v>
      </c>
      <c r="G9" s="2"/>
      <c r="H9" s="130" t="s">
        <v>90</v>
      </c>
      <c r="I9" s="162" t="str">
        <f>I$11</f>
        <v>$ /100 kg</v>
      </c>
      <c r="J9" s="147">
        <f>Saisie!O13</f>
        <v>233.38929919239737</v>
      </c>
      <c r="K9" s="147">
        <f>Saisie!P13</f>
        <v>235.13135250495418</v>
      </c>
      <c r="L9" s="1"/>
      <c r="M9" s="1"/>
      <c r="N9" s="1"/>
      <c r="O9" s="155"/>
    </row>
    <row r="10" spans="1:15" ht="9.75" customHeight="1" x14ac:dyDescent="0.2">
      <c r="A10"/>
      <c r="B10"/>
      <c r="C10"/>
      <c r="D10"/>
      <c r="E10"/>
      <c r="F10"/>
      <c r="G10" s="3"/>
      <c r="H10" s="3"/>
      <c r="I10"/>
      <c r="J10" s="165"/>
      <c r="K10" s="165"/>
      <c r="L10" s="3"/>
      <c r="M10" s="2"/>
      <c r="N10" s="1"/>
      <c r="O10" s="155"/>
    </row>
    <row r="11" spans="1:15" ht="22.5" customHeight="1" x14ac:dyDescent="0.2">
      <c r="A11"/>
      <c r="B11"/>
      <c r="C11"/>
      <c r="D11"/>
      <c r="E11"/>
      <c r="F11" s="164" t="s">
        <v>89</v>
      </c>
      <c r="G11" s="2"/>
      <c r="H11" s="130" t="s">
        <v>91</v>
      </c>
      <c r="I11" s="162" t="s">
        <v>75</v>
      </c>
      <c r="J11" s="147">
        <f>Saisie!O23</f>
        <v>223.08628886357101</v>
      </c>
      <c r="K11" s="147">
        <f>Saisie!P23</f>
        <v>236.94368252364396</v>
      </c>
      <c r="L11" s="216" t="s">
        <v>116</v>
      </c>
      <c r="M11" s="2"/>
      <c r="N11" s="1"/>
      <c r="O11" s="155"/>
    </row>
    <row r="12" spans="1:15" ht="22.5" customHeight="1" x14ac:dyDescent="0.3">
      <c r="A12"/>
      <c r="B12"/>
      <c r="C12" s="5"/>
      <c r="D12" s="5"/>
      <c r="E12" s="161"/>
      <c r="F12" s="3"/>
      <c r="G12" s="2"/>
      <c r="H12" s="131" t="s">
        <v>94</v>
      </c>
      <c r="I12" s="166" t="str">
        <f>I$11</f>
        <v>$ /100 kg</v>
      </c>
      <c r="J12" s="148">
        <f>J9-J11</f>
        <v>10.30301032882636</v>
      </c>
      <c r="K12" s="148">
        <f>K9-K11</f>
        <v>-1.8123300186897779</v>
      </c>
      <c r="L12" s="203"/>
      <c r="M12" s="2"/>
      <c r="N12" s="1"/>
      <c r="O12" s="155"/>
    </row>
    <row r="13" spans="1:15" ht="15" customHeight="1" x14ac:dyDescent="0.3">
      <c r="A13"/>
      <c r="B13"/>
      <c r="C13"/>
      <c r="D13"/>
      <c r="E13" s="161"/>
      <c r="F13" s="3"/>
      <c r="G13" s="3"/>
      <c r="H13" s="167" t="s">
        <v>87</v>
      </c>
      <c r="I13"/>
      <c r="J13" s="165"/>
      <c r="K13" s="165"/>
      <c r="L13" s="3"/>
      <c r="M13" s="2"/>
      <c r="N13" s="1"/>
      <c r="O13" s="155"/>
    </row>
    <row r="14" spans="1:15" ht="22.5" customHeight="1" x14ac:dyDescent="0.3">
      <c r="A14"/>
      <c r="B14"/>
      <c r="C14"/>
      <c r="D14"/>
      <c r="E14" s="161"/>
      <c r="F14" s="3"/>
      <c r="G14" s="2"/>
      <c r="H14" s="59" t="s">
        <v>71</v>
      </c>
      <c r="I14" s="166" t="s">
        <v>8</v>
      </c>
      <c r="J14" s="149">
        <f ca="1">'Résultats vs 2023'!I6*'Résultats vs 2023'!H47/100</f>
        <v>2.0091430431659556</v>
      </c>
      <c r="K14" s="149">
        <f ca="1">'Résultats vs 2023'!I6*'Résultats vs 2023'!H48/100</f>
        <v>2.1339444651196562</v>
      </c>
      <c r="L14" s="216" t="str">
        <f>L11</f>
        <v>avec réductions de prix des porcs*</v>
      </c>
      <c r="M14" s="200"/>
      <c r="N14" s="1"/>
      <c r="O14" s="217"/>
    </row>
    <row r="15" spans="1:15" ht="21.75" customHeight="1" x14ac:dyDescent="0.3">
      <c r="A15"/>
      <c r="B15"/>
      <c r="C15" s="168" t="s">
        <v>73</v>
      </c>
      <c r="D15" s="129"/>
      <c r="E15" s="129"/>
      <c r="F15" s="129"/>
      <c r="G15" s="134"/>
      <c r="H15" s="129"/>
      <c r="I15" s="135"/>
      <c r="J15" s="136"/>
      <c r="K15" s="137"/>
      <c r="L15" s="129"/>
      <c r="M15" s="134"/>
      <c r="N15" s="129"/>
    </row>
    <row r="16" spans="1:15" s="156" customFormat="1" ht="21.75" customHeight="1" x14ac:dyDescent="0.2">
      <c r="A16"/>
      <c r="B16"/>
      <c r="C16" s="22"/>
      <c r="D16" s="22"/>
      <c r="E16" s="22"/>
      <c r="F16" s="22"/>
      <c r="G16" s="169" t="s">
        <v>82</v>
      </c>
      <c r="H16" s="22"/>
      <c r="I16" s="22"/>
      <c r="J16" s="198">
        <f>J5</f>
        <v>2024</v>
      </c>
      <c r="K16" s="198">
        <f>K5</f>
        <v>2025</v>
      </c>
      <c r="L16" s="22"/>
      <c r="M16" s="22"/>
      <c r="N16" s="22"/>
    </row>
    <row r="17" spans="1:14" s="156" customFormat="1" ht="21.75" customHeight="1" x14ac:dyDescent="0.2">
      <c r="A17"/>
      <c r="B17"/>
      <c r="C17" s="22"/>
      <c r="D17" s="22"/>
      <c r="E17" s="22"/>
      <c r="F17" s="170"/>
      <c r="G17" s="171"/>
      <c r="H17" s="172" t="s">
        <v>72</v>
      </c>
      <c r="I17" s="173" t="str">
        <f>I$11</f>
        <v>$ /100 kg</v>
      </c>
      <c r="J17" s="141">
        <f>IF(ROUND(Saisie!O14,2)=0,'Coti ASRA prev'!$B$1,Saisie!O14)</f>
        <v>10.30301032882636</v>
      </c>
      <c r="K17" s="141" t="str">
        <f>IF(ROUND(Saisie!P14,2)=0,'Coti ASRA prev'!$B$1,Saisie!P14)</f>
        <v xml:space="preserve">    -     $</v>
      </c>
      <c r="L17" s="174"/>
      <c r="M17" s="22"/>
      <c r="N17" s="22"/>
    </row>
    <row r="18" spans="1:14" ht="9" customHeight="1" x14ac:dyDescent="0.2">
      <c r="A18"/>
      <c r="B18"/>
      <c r="C18"/>
      <c r="D18"/>
      <c r="E18"/>
      <c r="F18" s="199"/>
      <c r="G18" s="62"/>
      <c r="H18" s="62"/>
      <c r="I18" s="62"/>
      <c r="J18" s="62"/>
      <c r="K18" s="62"/>
      <c r="L18" s="61"/>
      <c r="M18"/>
      <c r="N18"/>
    </row>
    <row r="19" spans="1:14" ht="9" customHeight="1" x14ac:dyDescent="0.2">
      <c r="A19"/>
      <c r="B19"/>
      <c r="C19"/>
      <c r="D19"/>
      <c r="E19"/>
      <c r="F19" s="175"/>
      <c r="G19"/>
      <c r="H19"/>
      <c r="I19"/>
      <c r="J19"/>
      <c r="K19"/>
      <c r="L19" s="176"/>
      <c r="M19"/>
      <c r="N19"/>
    </row>
    <row r="20" spans="1:14" s="156" customFormat="1" ht="21.75" customHeight="1" x14ac:dyDescent="0.2">
      <c r="A20"/>
      <c r="B20"/>
      <c r="C20" s="22"/>
      <c r="D20" s="22"/>
      <c r="E20" s="22"/>
      <c r="F20" s="177"/>
      <c r="G20" s="22"/>
      <c r="H20" s="164" t="s">
        <v>85</v>
      </c>
      <c r="I20" s="178" t="s">
        <v>8</v>
      </c>
      <c r="J20" s="143">
        <f>IF(ROUND(Saisie!O14,2)=0,'Coti ASRA prev'!$B$1,Saisie!O16/100)</f>
        <v>6.7999868170253927E-2</v>
      </c>
      <c r="K20" s="143" t="str">
        <f>IF(ROUND(Saisie!P14,2)=0,'Coti ASRA prev'!$B$1,Saisie!P16/100)</f>
        <v xml:space="preserve">    -     $</v>
      </c>
      <c r="L20" s="179"/>
      <c r="M20" s="22"/>
      <c r="N20" s="22"/>
    </row>
    <row r="21" spans="1:14" s="156" customFormat="1" ht="21.75" customHeight="1" x14ac:dyDescent="0.2">
      <c r="A21"/>
      <c r="B21"/>
      <c r="C21" s="22"/>
      <c r="D21" s="22"/>
      <c r="E21" s="22"/>
      <c r="F21" s="192"/>
      <c r="G21" s="193"/>
      <c r="H21" s="194"/>
      <c r="I21" s="195" t="str">
        <f>"$/porc 
("&amp;ROUND(Saisie!O19,1)&amp;" kg)"</f>
        <v>$/porc 
(112,9 kg)</v>
      </c>
      <c r="J21" s="196">
        <f>IF(ROUND(Saisie!O14,2)=0,'Coti ASRA prev'!$B$1,J20*Saisie!O19)</f>
        <v>7.6771851164216685</v>
      </c>
      <c r="K21" s="196" t="str">
        <f>IF(ROUND(Saisie!P14,2)=0,'Coti ASRA prev'!$B$1,K20*Saisie!P19)</f>
        <v xml:space="preserve">    -     $</v>
      </c>
      <c r="L21" s="197"/>
      <c r="M21" s="22"/>
      <c r="N21" s="22"/>
    </row>
    <row r="22" spans="1:14" s="156" customFormat="1" ht="21.75" customHeight="1" x14ac:dyDescent="0.2">
      <c r="A22"/>
      <c r="B22"/>
      <c r="C22" s="22"/>
      <c r="D22" s="22"/>
      <c r="E22" s="22"/>
      <c r="F22" s="180"/>
      <c r="G22" s="181"/>
      <c r="H22" s="182" t="s">
        <v>76</v>
      </c>
      <c r="I22" s="183" t="s">
        <v>74</v>
      </c>
      <c r="J22" s="142">
        <f>IF(ROUND(Saisie!O14,2)=0,'Coti ASRA prev'!$B$1,Saisie!O15)</f>
        <v>76.863063428106656</v>
      </c>
      <c r="K22" s="142" t="str">
        <f>IF(ROUND(Saisie!P14,2)=0,'Coti ASRA prev'!$B$1,Saisie!P15)</f>
        <v xml:space="preserve">    -     $</v>
      </c>
      <c r="L22" s="184"/>
      <c r="M22" s="22"/>
      <c r="N22" s="22"/>
    </row>
    <row r="23" spans="1:14" s="156" customFormat="1" ht="21.95" customHeight="1" x14ac:dyDescent="0.2">
      <c r="A23"/>
      <c r="B23"/>
      <c r="C23" s="22"/>
      <c r="D23" s="22"/>
      <c r="E23" s="22"/>
      <c r="F23" s="22"/>
      <c r="G23" s="22"/>
      <c r="H23" s="22"/>
      <c r="I23" s="22"/>
      <c r="J23" s="22"/>
      <c r="K23" s="22"/>
      <c r="L23" s="22"/>
      <c r="M23" s="22"/>
      <c r="N23" s="22"/>
    </row>
    <row r="24" spans="1:14" s="156" customFormat="1" ht="21.75" customHeight="1" x14ac:dyDescent="0.2">
      <c r="A24"/>
      <c r="B24"/>
      <c r="C24" s="22"/>
      <c r="D24" s="22"/>
      <c r="E24" s="22"/>
      <c r="F24" s="22"/>
      <c r="G24" s="169" t="s">
        <v>81</v>
      </c>
      <c r="H24" s="22"/>
      <c r="I24" s="22"/>
      <c r="J24" s="198">
        <f>J16</f>
        <v>2024</v>
      </c>
      <c r="K24" s="198">
        <f>K16</f>
        <v>2025</v>
      </c>
      <c r="L24" s="22"/>
      <c r="M24" s="22"/>
      <c r="N24" s="22"/>
    </row>
    <row r="25" spans="1:14" s="156" customFormat="1" ht="9" customHeight="1" x14ac:dyDescent="0.2">
      <c r="A25"/>
      <c r="B25"/>
      <c r="C25"/>
      <c r="D25"/>
      <c r="E25"/>
      <c r="F25" s="189"/>
      <c r="G25" s="190"/>
      <c r="H25" s="190"/>
      <c r="I25" s="190"/>
      <c r="J25" s="190"/>
      <c r="K25" s="190"/>
      <c r="L25" s="191"/>
      <c r="M25"/>
      <c r="N25"/>
    </row>
    <row r="26" spans="1:14" ht="21.95" customHeight="1" x14ac:dyDescent="0.2">
      <c r="A26"/>
      <c r="B26"/>
      <c r="C26" s="22"/>
      <c r="D26" s="22"/>
      <c r="E26" s="22"/>
      <c r="F26" s="177"/>
      <c r="G26" s="22"/>
      <c r="H26" s="164" t="s">
        <v>85</v>
      </c>
      <c r="I26" s="178" t="s">
        <v>8</v>
      </c>
      <c r="J26" s="143">
        <f>Saisie!O30</f>
        <v>7.3899999999999993E-2</v>
      </c>
      <c r="K26" s="143">
        <f>Saisie!P30</f>
        <v>7.3899999999999993E-2</v>
      </c>
      <c r="L26" s="179"/>
      <c r="M26" s="22"/>
      <c r="N26" s="22"/>
    </row>
    <row r="27" spans="1:14" s="156" customFormat="1" ht="21.75" customHeight="1" x14ac:dyDescent="0.2">
      <c r="A27"/>
      <c r="B27"/>
      <c r="C27" s="22"/>
      <c r="D27" s="22"/>
      <c r="E27" s="22"/>
      <c r="F27" s="192"/>
      <c r="G27" s="193"/>
      <c r="H27" s="194"/>
      <c r="I27" s="195" t="str">
        <f>"$/porc 
("&amp;ROUND(Saisie!P19,1)&amp;" kg)"</f>
        <v>$/porc 
(112,9 kg)</v>
      </c>
      <c r="J27" s="196">
        <f>J26*Saisie!O19</f>
        <v>8.3433099999999989</v>
      </c>
      <c r="K27" s="196">
        <f>K26*Saisie!P19</f>
        <v>8.3433099999999989</v>
      </c>
      <c r="L27" s="197"/>
      <c r="M27" s="22"/>
      <c r="N27" s="22"/>
    </row>
    <row r="28" spans="1:14" s="156" customFormat="1" ht="21.75" customHeight="1" x14ac:dyDescent="0.2">
      <c r="A28"/>
      <c r="B28"/>
      <c r="C28" s="22"/>
      <c r="D28" s="22"/>
      <c r="E28" s="22"/>
      <c r="F28" s="180"/>
      <c r="G28" s="181"/>
      <c r="H28" s="182" t="s">
        <v>76</v>
      </c>
      <c r="I28" s="183" t="s">
        <v>74</v>
      </c>
      <c r="J28" s="142">
        <f>Saisie!O29</f>
        <v>90.15</v>
      </c>
      <c r="K28" s="142">
        <f>Saisie!P29</f>
        <v>90.15</v>
      </c>
      <c r="L28" s="184"/>
      <c r="M28" s="22"/>
      <c r="N28" s="22"/>
    </row>
    <row r="29" spans="1:14" s="156" customFormat="1" ht="21.75" customHeight="1" x14ac:dyDescent="0.2">
      <c r="A29"/>
      <c r="B29"/>
      <c r="C29"/>
      <c r="D29"/>
      <c r="E29"/>
      <c r="F29"/>
      <c r="G29"/>
      <c r="H29"/>
      <c r="I29"/>
      <c r="J29"/>
      <c r="K29"/>
      <c r="L29"/>
      <c r="M29"/>
      <c r="N29"/>
    </row>
    <row r="30" spans="1:14" x14ac:dyDescent="0.2">
      <c r="A30"/>
      <c r="B30"/>
      <c r="C30" s="224" t="s">
        <v>113</v>
      </c>
      <c r="D30"/>
      <c r="E30"/>
      <c r="F30"/>
      <c r="G30"/>
      <c r="H30"/>
      <c r="I30"/>
      <c r="J30"/>
      <c r="K30"/>
      <c r="L30"/>
      <c r="M30"/>
      <c r="N30"/>
    </row>
    <row r="31" spans="1:14" x14ac:dyDescent="0.2">
      <c r="A31"/>
      <c r="B31"/>
      <c r="C31" s="187" t="s">
        <v>125</v>
      </c>
      <c r="D31" s="188"/>
      <c r="E31" s="188"/>
      <c r="F31" s="188"/>
      <c r="G31" s="188"/>
      <c r="H31" s="188"/>
      <c r="I31" s="188"/>
      <c r="J31" s="188"/>
      <c r="K31" s="188"/>
      <c r="L31" s="188"/>
      <c r="M31" s="188"/>
      <c r="N31" s="188"/>
    </row>
    <row r="32" spans="1:14" x14ac:dyDescent="0.2">
      <c r="F32" s="157"/>
    </row>
    <row r="33" spans="6:6" x14ac:dyDescent="0.2">
      <c r="F33" s="157"/>
    </row>
  </sheetData>
  <sheetProtection sheet="1" objects="1" scenarios="1" selectLockedCells="1"/>
  <phoneticPr fontId="2" type="noConversion"/>
  <printOptions horizontalCentered="1"/>
  <pageMargins left="0.2" right="0.2" top="0.7" bottom="0.2" header="0.12" footer="0.12"/>
  <pageSetup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B401-6EB3-4778-A86D-202B18B45785}">
  <dimension ref="A1:U44"/>
  <sheetViews>
    <sheetView zoomScaleNormal="100" workbookViewId="0">
      <selection activeCell="F13" sqref="F13"/>
    </sheetView>
  </sheetViews>
  <sheetFormatPr baseColWidth="10" defaultRowHeight="12.75" x14ac:dyDescent="0.2"/>
  <cols>
    <col min="1" max="1" width="7" customWidth="1"/>
    <col min="2" max="2" width="6.7109375" customWidth="1"/>
    <col min="3" max="3" width="11.42578125" customWidth="1"/>
    <col min="11" max="11" width="5.42578125" customWidth="1"/>
    <col min="14" max="14" width="24" customWidth="1"/>
  </cols>
  <sheetData>
    <row r="1" spans="1:21" ht="13.5" thickBot="1" x14ac:dyDescent="0.25">
      <c r="B1" s="205"/>
      <c r="C1" s="69" t="s">
        <v>64</v>
      </c>
      <c r="D1" s="344" t="s">
        <v>63</v>
      </c>
      <c r="E1" s="43"/>
      <c r="F1" s="23" t="s">
        <v>40</v>
      </c>
      <c r="H1" s="24" t="s">
        <v>41</v>
      </c>
      <c r="I1" s="39"/>
      <c r="J1" s="112">
        <v>45590</v>
      </c>
    </row>
    <row r="2" spans="1:21" x14ac:dyDescent="0.2">
      <c r="B2" s="205"/>
      <c r="C2" s="25"/>
      <c r="D2" s="26"/>
      <c r="E2" s="26"/>
      <c r="F2" s="26"/>
      <c r="G2" s="27" t="s">
        <v>42</v>
      </c>
      <c r="H2" s="27" t="s">
        <v>42</v>
      </c>
      <c r="I2" s="28" t="s">
        <v>42</v>
      </c>
      <c r="J2" s="29" t="s">
        <v>43</v>
      </c>
      <c r="O2" s="351" t="s">
        <v>119</v>
      </c>
      <c r="P2" s="62"/>
      <c r="Q2" s="62"/>
      <c r="R2" s="62"/>
      <c r="S2" s="62"/>
      <c r="T2" s="62"/>
    </row>
    <row r="3" spans="1:21" ht="13.5" thickBot="1" x14ac:dyDescent="0.25">
      <c r="A3" s="30" t="s">
        <v>36</v>
      </c>
      <c r="B3" s="38" t="s">
        <v>44</v>
      </c>
      <c r="C3" s="31" t="s">
        <v>45</v>
      </c>
      <c r="D3" s="32" t="s">
        <v>46</v>
      </c>
      <c r="E3" s="32" t="s">
        <v>47</v>
      </c>
      <c r="F3" s="32" t="s">
        <v>3</v>
      </c>
      <c r="G3" s="33" t="s">
        <v>25</v>
      </c>
      <c r="H3" s="33" t="s">
        <v>48</v>
      </c>
      <c r="I3" s="34" t="s">
        <v>26</v>
      </c>
      <c r="J3" s="40" t="s">
        <v>49</v>
      </c>
      <c r="N3" s="61"/>
      <c r="O3" s="150" t="str">
        <f>D3</f>
        <v>Maïs</v>
      </c>
      <c r="P3" s="151" t="str">
        <f>E3</f>
        <v>T soja</v>
      </c>
      <c r="Q3" s="152" t="str">
        <f>F3</f>
        <v>Porc</v>
      </c>
      <c r="R3" s="63" t="str">
        <f>G2&amp;" "&amp;G3</f>
        <v>Moulées Truies</v>
      </c>
      <c r="S3" s="63" t="str">
        <f>H2&amp;" "&amp;H3</f>
        <v>Moulées Pclts</v>
      </c>
      <c r="T3" s="63" t="str">
        <f>I2&amp;" "&amp;I3</f>
        <v>Moulées Porcs</v>
      </c>
    </row>
    <row r="4" spans="1:21" ht="15.75" thickBot="1" x14ac:dyDescent="0.25">
      <c r="B4" s="205"/>
      <c r="C4" s="97">
        <v>2023</v>
      </c>
      <c r="D4" s="372">
        <v>343.26249999999999</v>
      </c>
      <c r="E4" s="372">
        <v>740.16250000000002</v>
      </c>
      <c r="F4" s="98">
        <v>187.18471901010227</v>
      </c>
      <c r="G4" s="99">
        <v>411.83714800000001</v>
      </c>
      <c r="H4" s="100">
        <v>650.06826437500001</v>
      </c>
      <c r="I4" s="101">
        <v>457.72271662500003</v>
      </c>
      <c r="J4" s="44">
        <v>1.349873557692308</v>
      </c>
      <c r="N4" s="60">
        <f>'Résultats vs 2023'!C47</f>
        <v>2024</v>
      </c>
      <c r="O4" s="227">
        <f ca="1">'Résultats vs 2023'!D47</f>
        <v>77.780251286221585</v>
      </c>
      <c r="P4" s="227">
        <f ca="1">'Résultats vs 2023'!F47</f>
        <v>84.056820102390944</v>
      </c>
      <c r="Q4" s="227">
        <f ca="1">'Résultats vs 2023'!H47</f>
        <v>107.1841478868147</v>
      </c>
      <c r="R4" s="227">
        <f ca="1">'Résultats vs 2023'!J47</f>
        <v>85.468591191489026</v>
      </c>
      <c r="S4" s="227">
        <f ca="1">'Résultats vs 2023'!L47</f>
        <v>87.454783406826891</v>
      </c>
      <c r="T4" s="228">
        <f ca="1">'Résultats vs 2023'!N47</f>
        <v>85.227602459972971</v>
      </c>
    </row>
    <row r="5" spans="1:21" ht="15.75" customHeight="1" thickTop="1" thickBot="1" x14ac:dyDescent="0.25">
      <c r="A5" s="104"/>
      <c r="B5" s="105" t="str">
        <f>B6</f>
        <v>Moyenne</v>
      </c>
      <c r="C5" s="106" t="s">
        <v>120</v>
      </c>
      <c r="D5" s="406">
        <f>AVERAGE(D9:D14)</f>
        <v>270.125</v>
      </c>
      <c r="E5" s="406">
        <f t="shared" ref="E5:H5" si="0">AVERAGE(E9:E14)</f>
        <v>632.99166666666667</v>
      </c>
      <c r="F5" s="49">
        <f>AVERAGE(F9:F14)</f>
        <v>196.19570969105203</v>
      </c>
      <c r="G5" s="50">
        <f t="shared" si="0"/>
        <v>354.65648000000004</v>
      </c>
      <c r="H5" s="49">
        <f t="shared" si="0"/>
        <v>573.73603808333337</v>
      </c>
      <c r="I5" s="51">
        <f>AVERAGE(I9:I14)</f>
        <v>393.83206124999998</v>
      </c>
      <c r="J5" s="58"/>
      <c r="N5" s="60">
        <f>'Résultats vs 2023'!C48</f>
        <v>2025</v>
      </c>
      <c r="O5" s="227">
        <f ca="1">'Résultats vs 2023'!D48</f>
        <v>87.290290858744498</v>
      </c>
      <c r="P5" s="227">
        <f ca="1">'Résultats vs 2023'!F48</f>
        <v>75.966666721520326</v>
      </c>
      <c r="Q5" s="227">
        <f ca="1">'Résultats vs 2023'!H48</f>
        <v>113.84207804896556</v>
      </c>
      <c r="R5" s="227">
        <f ca="1">'Résultats vs 2023'!J48</f>
        <v>90.767327425021804</v>
      </c>
      <c r="S5" s="227">
        <f ca="1">'Résultats vs 2023'!L48</f>
        <v>87.522225702974083</v>
      </c>
      <c r="T5" s="229">
        <f ca="1">'Résultats vs 2023'!N48</f>
        <v>87.733749382677644</v>
      </c>
    </row>
    <row r="6" spans="1:21" ht="13.5" thickBot="1" x14ac:dyDescent="0.25">
      <c r="B6" s="5" t="s">
        <v>50</v>
      </c>
      <c r="C6" s="234">
        <f>YEAR(C20)</f>
        <v>2024</v>
      </c>
      <c r="D6" s="406">
        <f ca="1">AVERAGEIF($A$9:D$44,$C6,D$9:D$44)</f>
        <v>266.99043507136633</v>
      </c>
      <c r="E6" s="406">
        <f ca="1">AVERAGEIF($A$9:E$44,$C6,E$9:E$44)</f>
        <v>622.15706109035943</v>
      </c>
      <c r="F6" s="49">
        <f ca="1">AVERAGEIF($A$9:F$44,$C6,F$9:F$44)</f>
        <v>200.63234604530658</v>
      </c>
      <c r="G6" s="50">
        <f ca="1">AVERAGEIF($A$9:G$44,$C6,G$9:G$44)</f>
        <v>351.99140839880761</v>
      </c>
      <c r="H6" s="49">
        <f ca="1">AVERAGEIF($A$9:H$44,$C6,H$9:H$44)</f>
        <v>568.51579260567507</v>
      </c>
      <c r="I6" s="51">
        <f ca="1">AVERAGEIF($A$9:I$44,$C6,I$9:I$44)</f>
        <v>390.10609729414364</v>
      </c>
      <c r="J6" s="58">
        <f>AVERAGE(J9:J20)</f>
        <v>1.3643293955257894</v>
      </c>
      <c r="L6" s="201"/>
      <c r="N6" s="68"/>
      <c r="O6" s="235">
        <f ca="1">D6/D4</f>
        <v>0.7778025128622158</v>
      </c>
      <c r="P6" s="235">
        <f t="shared" ref="P6:T6" ca="1" si="1">E6/E4</f>
        <v>0.8405682010239095</v>
      </c>
      <c r="Q6" s="235">
        <f t="shared" ca="1" si="1"/>
        <v>1.071841478868147</v>
      </c>
      <c r="R6" s="235">
        <f t="shared" ca="1" si="1"/>
        <v>0.85468591191489018</v>
      </c>
      <c r="S6" s="235">
        <f t="shared" ca="1" si="1"/>
        <v>0.87454783406826886</v>
      </c>
      <c r="T6" s="235">
        <f t="shared" ca="1" si="1"/>
        <v>0.85227602459972973</v>
      </c>
    </row>
    <row r="7" spans="1:21" ht="13.5" thickBot="1" x14ac:dyDescent="0.25">
      <c r="B7" s="5" t="s">
        <v>50</v>
      </c>
      <c r="C7" s="234">
        <f>C6+1</f>
        <v>2025</v>
      </c>
      <c r="D7" s="406">
        <f ca="1">AVERAGEIF($A$9:D$44,$C7,D$9:D$44)</f>
        <v>299.63483465899782</v>
      </c>
      <c r="E7" s="406">
        <f ca="1">AVERAGEIF($A$9:E$44,$C7,E$9:E$44)</f>
        <v>562.27677957267292</v>
      </c>
      <c r="F7" s="49">
        <f ca="1">AVERAGEIF($A$9:F$44,$C7,F$9:F$44)</f>
        <v>213.09497391121749</v>
      </c>
      <c r="G7" s="50">
        <f ca="1">AVERAGEIF($A$9:G$44,$C7,G$9:G$44)</f>
        <v>373.81357258303166</v>
      </c>
      <c r="H7" s="49">
        <f ca="1">AVERAGEIF($A$9:H$44,$C7,H$9:H$44)</f>
        <v>568.95421356969382</v>
      </c>
      <c r="I7" s="51">
        <f ca="1">AVERAGEIF($A$9:I$44,$C7,I$9:I$44)</f>
        <v>401.57730107136126</v>
      </c>
      <c r="J7" s="48">
        <f>AVERAGE(J21:J32)</f>
        <v>1.3799448022079124</v>
      </c>
      <c r="L7" s="202"/>
      <c r="M7" s="202"/>
      <c r="N7" s="202"/>
      <c r="O7" s="235">
        <f ca="1">D7/D4</f>
        <v>0.87290290858744501</v>
      </c>
      <c r="P7" s="235">
        <f t="shared" ref="P7:S7" ca="1" si="2">E7/E4</f>
        <v>0.75966666721520326</v>
      </c>
      <c r="Q7" s="235">
        <f ca="1">F7/F4</f>
        <v>1.1384207804896556</v>
      </c>
      <c r="R7" s="235">
        <f t="shared" ca="1" si="2"/>
        <v>0.90767327425021804</v>
      </c>
      <c r="S7" s="235">
        <f t="shared" ca="1" si="2"/>
        <v>0.87522225702974088</v>
      </c>
      <c r="T7" s="235">
        <f ca="1">I7/I4</f>
        <v>0.87733749382677639</v>
      </c>
      <c r="U7" s="235"/>
    </row>
    <row r="8" spans="1:21" ht="13.5" thickBot="1" x14ac:dyDescent="0.25">
      <c r="A8" s="102"/>
      <c r="B8" s="103" t="s">
        <v>50</v>
      </c>
      <c r="C8" s="354">
        <f>C7+1</f>
        <v>2026</v>
      </c>
      <c r="D8" s="406">
        <v>0</v>
      </c>
      <c r="E8" s="406">
        <v>0</v>
      </c>
      <c r="F8" s="49">
        <v>0</v>
      </c>
      <c r="G8" s="50">
        <v>0</v>
      </c>
      <c r="H8" s="49">
        <v>0</v>
      </c>
      <c r="I8" s="51">
        <v>0</v>
      </c>
      <c r="J8" s="58">
        <v>0</v>
      </c>
      <c r="O8" s="202"/>
    </row>
    <row r="9" spans="1:21" ht="15" x14ac:dyDescent="0.25">
      <c r="A9" s="205">
        <f>YEAR(C9)</f>
        <v>2024</v>
      </c>
      <c r="B9" s="35">
        <v>1</v>
      </c>
      <c r="C9" s="345">
        <v>45292</v>
      </c>
      <c r="D9" s="371">
        <v>291</v>
      </c>
      <c r="E9" s="371">
        <v>683</v>
      </c>
      <c r="F9" s="45">
        <v>177.8935991633638</v>
      </c>
      <c r="G9" s="46">
        <v>371.64411999999999</v>
      </c>
      <c r="H9" s="45">
        <v>601.58623</v>
      </c>
      <c r="I9" s="47">
        <v>415.14094999999998</v>
      </c>
      <c r="J9" s="48">
        <v>1.340036853276414</v>
      </c>
      <c r="O9" s="219" t="s">
        <v>114</v>
      </c>
      <c r="P9" s="218"/>
    </row>
    <row r="10" spans="1:21" ht="15" x14ac:dyDescent="0.25">
      <c r="A10" s="205">
        <f t="shared" ref="A10:A44" si="3">YEAR(C10)</f>
        <v>2024</v>
      </c>
      <c r="B10" s="205">
        <f>B9</f>
        <v>1</v>
      </c>
      <c r="C10" s="345">
        <v>45323</v>
      </c>
      <c r="D10" s="371">
        <v>267.5</v>
      </c>
      <c r="E10" s="371">
        <v>629</v>
      </c>
      <c r="F10" s="45">
        <v>183.31041542473918</v>
      </c>
      <c r="G10" s="46">
        <v>352.59920500000004</v>
      </c>
      <c r="H10" s="45">
        <v>570.95105000000001</v>
      </c>
      <c r="I10" s="47">
        <v>391.51596999999998</v>
      </c>
      <c r="J10" s="48">
        <v>1.3497098123903362</v>
      </c>
      <c r="O10" s="41">
        <v>2024</v>
      </c>
      <c r="P10" s="41">
        <v>2025</v>
      </c>
    </row>
    <row r="11" spans="1:21" ht="14.25" x14ac:dyDescent="0.2">
      <c r="A11" s="205">
        <f t="shared" si="3"/>
        <v>2024</v>
      </c>
      <c r="B11" s="205">
        <f>B10</f>
        <v>1</v>
      </c>
      <c r="C11" s="345">
        <v>45352</v>
      </c>
      <c r="D11" s="371">
        <v>257.5</v>
      </c>
      <c r="E11" s="371">
        <v>603</v>
      </c>
      <c r="F11" s="45">
        <v>192.14448970290027</v>
      </c>
      <c r="G11" s="46">
        <v>344.39120500000001</v>
      </c>
      <c r="H11" s="45">
        <v>556.97146999999995</v>
      </c>
      <c r="I11" s="47">
        <v>380.98467000000005</v>
      </c>
      <c r="J11" s="48">
        <v>1.3540961408259986</v>
      </c>
      <c r="N11" s="64" t="str">
        <f>"Prix du Pool, ind. 100, référence : "&amp;O10-1</f>
        <v>Prix du Pool, ind. 100, référence : 2023</v>
      </c>
      <c r="O11" s="70">
        <v>187.44777868529488</v>
      </c>
      <c r="P11" s="70">
        <v>187.44777868529488</v>
      </c>
    </row>
    <row r="12" spans="1:21" ht="14.25" x14ac:dyDescent="0.2">
      <c r="A12" s="205">
        <f t="shared" si="3"/>
        <v>2024</v>
      </c>
      <c r="B12" s="205">
        <f>B11+1</f>
        <v>2</v>
      </c>
      <c r="C12" s="345">
        <v>45383</v>
      </c>
      <c r="D12" s="371">
        <v>262.75</v>
      </c>
      <c r="E12" s="371">
        <v>590.75</v>
      </c>
      <c r="F12" s="45">
        <v>206.5980322049594</v>
      </c>
      <c r="G12" s="46">
        <v>347.81074000000001</v>
      </c>
      <c r="H12" s="45">
        <v>556.22399250000001</v>
      </c>
      <c r="I12" s="47">
        <v>382.41492749999998</v>
      </c>
      <c r="J12" s="48">
        <v>1.3661202185792349</v>
      </c>
      <c r="N12" s="64" t="s">
        <v>51</v>
      </c>
      <c r="O12" s="70">
        <v>1</v>
      </c>
      <c r="P12" s="70">
        <v>1</v>
      </c>
    </row>
    <row r="13" spans="1:21" ht="14.25" x14ac:dyDescent="0.2">
      <c r="A13" s="205">
        <f t="shared" si="3"/>
        <v>2024</v>
      </c>
      <c r="B13" s="205">
        <f t="shared" ref="B13:B20" si="4">B12</f>
        <v>2</v>
      </c>
      <c r="C13" s="345">
        <v>45413</v>
      </c>
      <c r="D13" s="371">
        <v>270</v>
      </c>
      <c r="E13" s="371">
        <v>630.20000000000005</v>
      </c>
      <c r="F13" s="45">
        <v>208.43186939156973</v>
      </c>
      <c r="G13" s="46">
        <v>354.46915000000001</v>
      </c>
      <c r="H13" s="45">
        <v>572.79112600000008</v>
      </c>
      <c r="I13" s="47">
        <v>393.31007</v>
      </c>
      <c r="J13" s="48">
        <v>1.3672409078479628</v>
      </c>
      <c r="N13" s="116" t="s">
        <v>65</v>
      </c>
      <c r="O13" s="71">
        <v>233.38929919239737</v>
      </c>
      <c r="P13" s="71">
        <v>235.13135250495418</v>
      </c>
    </row>
    <row r="14" spans="1:21" ht="14.25" x14ac:dyDescent="0.2">
      <c r="A14" s="205">
        <f t="shared" si="3"/>
        <v>2024</v>
      </c>
      <c r="B14" s="205">
        <f t="shared" si="4"/>
        <v>2</v>
      </c>
      <c r="C14" s="345">
        <v>45444</v>
      </c>
      <c r="D14" s="371">
        <v>272</v>
      </c>
      <c r="E14" s="371">
        <v>662</v>
      </c>
      <c r="F14" s="45">
        <v>208.79585225877989</v>
      </c>
      <c r="G14" s="46">
        <v>357.02445999999998</v>
      </c>
      <c r="H14" s="45">
        <v>583.89236000000005</v>
      </c>
      <c r="I14" s="47">
        <v>399.62578000000002</v>
      </c>
      <c r="J14" s="48">
        <v>1.3702384214853385</v>
      </c>
      <c r="N14" s="64" t="s">
        <v>52</v>
      </c>
      <c r="O14" s="71">
        <v>10.30301032882636</v>
      </c>
      <c r="P14" s="71">
        <v>0</v>
      </c>
    </row>
    <row r="15" spans="1:21" ht="14.25" x14ac:dyDescent="0.2">
      <c r="A15" s="205">
        <f t="shared" si="3"/>
        <v>2024</v>
      </c>
      <c r="B15" s="205">
        <f>B14+1</f>
        <v>3</v>
      </c>
      <c r="C15" s="345">
        <v>45474</v>
      </c>
      <c r="D15" s="371">
        <v>260.60000000000002</v>
      </c>
      <c r="E15" s="371">
        <v>651.79999999999995</v>
      </c>
      <c r="F15" s="45">
        <v>207.77396891728009</v>
      </c>
      <c r="G15" s="46">
        <v>348.335104</v>
      </c>
      <c r="H15" s="45">
        <v>574.02539000000002</v>
      </c>
      <c r="I15" s="47">
        <v>390.69647799999996</v>
      </c>
      <c r="J15" s="48">
        <v>1.3708019191226868</v>
      </c>
      <c r="N15" s="64" t="s">
        <v>53</v>
      </c>
      <c r="O15" s="72">
        <v>76.863063428106656</v>
      </c>
      <c r="P15" s="71">
        <v>0</v>
      </c>
    </row>
    <row r="16" spans="1:21" ht="14.25" x14ac:dyDescent="0.2">
      <c r="A16" s="205">
        <f t="shared" si="3"/>
        <v>2024</v>
      </c>
      <c r="B16" s="205">
        <f t="shared" si="4"/>
        <v>3</v>
      </c>
      <c r="C16" s="345">
        <v>45505</v>
      </c>
      <c r="D16" s="371">
        <v>256.5</v>
      </c>
      <c r="E16" s="371">
        <v>670.5</v>
      </c>
      <c r="F16" s="45">
        <v>212.54453787343718</v>
      </c>
      <c r="G16" s="46">
        <v>345.97834</v>
      </c>
      <c r="H16" s="45">
        <v>577.46083500000009</v>
      </c>
      <c r="I16" s="47">
        <v>391.02486500000003</v>
      </c>
      <c r="J16" s="48">
        <v>1.3678019422787582</v>
      </c>
      <c r="N16" s="64" t="s">
        <v>54</v>
      </c>
      <c r="O16" s="72">
        <v>6.7999868170253928</v>
      </c>
      <c r="P16" s="71">
        <v>0</v>
      </c>
    </row>
    <row r="17" spans="1:20" x14ac:dyDescent="0.2">
      <c r="A17" s="205">
        <f t="shared" si="3"/>
        <v>2024</v>
      </c>
      <c r="B17" s="205">
        <f t="shared" si="4"/>
        <v>3</v>
      </c>
      <c r="C17" s="345">
        <v>45536</v>
      </c>
      <c r="D17" s="371">
        <v>249.75</v>
      </c>
      <c r="E17" s="371">
        <v>654</v>
      </c>
      <c r="F17" s="45">
        <v>202.34697735704236</v>
      </c>
      <c r="G17" s="46">
        <v>340.47400750000003</v>
      </c>
      <c r="H17" s="45">
        <v>568.35246000000006</v>
      </c>
      <c r="I17" s="47">
        <v>384.08240000000001</v>
      </c>
      <c r="J17" s="48">
        <v>1.3544629554381689</v>
      </c>
      <c r="N17" s="5" t="str">
        <f>"Indexation totale pondérée aliment modèle N-F, année/"&amp;O10-1</f>
        <v>Indexation totale pondérée aliment modèle N-F, année/2023</v>
      </c>
      <c r="O17" s="73">
        <v>-0.15325849592604879</v>
      </c>
      <c r="P17" s="73">
        <v>-0.12816135273270368</v>
      </c>
      <c r="Q17" s="59"/>
    </row>
    <row r="18" spans="1:20" ht="14.25" x14ac:dyDescent="0.2">
      <c r="A18" s="205">
        <f t="shared" si="3"/>
        <v>2024</v>
      </c>
      <c r="B18" s="205">
        <f>B17+1</f>
        <v>4</v>
      </c>
      <c r="C18" s="345">
        <v>45566</v>
      </c>
      <c r="D18" s="371">
        <v>250.6</v>
      </c>
      <c r="E18" s="371">
        <v>578.4</v>
      </c>
      <c r="F18" s="45">
        <v>210.80210640873435</v>
      </c>
      <c r="G18" s="46">
        <v>338.49891399999996</v>
      </c>
      <c r="H18" s="45">
        <v>545.24610800000005</v>
      </c>
      <c r="I18" s="47">
        <v>372.66412800000001</v>
      </c>
      <c r="J18" s="48">
        <v>1.3715539706487452</v>
      </c>
      <c r="N18" s="68" t="s">
        <v>55</v>
      </c>
      <c r="O18" s="359">
        <v>1.0249999999999999</v>
      </c>
      <c r="P18" s="359">
        <v>1.0249999999999999</v>
      </c>
      <c r="Q18" s="59"/>
    </row>
    <row r="19" spans="1:20" x14ac:dyDescent="0.2">
      <c r="A19" s="205">
        <f t="shared" si="3"/>
        <v>2024</v>
      </c>
      <c r="B19" s="205">
        <f t="shared" si="4"/>
        <v>4</v>
      </c>
      <c r="C19" s="53">
        <v>45597</v>
      </c>
      <c r="D19" s="45">
        <v>276.78042113333692</v>
      </c>
      <c r="E19" s="45">
        <v>552.50451715417807</v>
      </c>
      <c r="F19" s="45">
        <v>202.72641873606338</v>
      </c>
      <c r="G19" s="46">
        <v>356.76012041907063</v>
      </c>
      <c r="H19" s="45">
        <v>552.5066770425658</v>
      </c>
      <c r="I19" s="47">
        <v>385.36562047248833</v>
      </c>
      <c r="J19" s="48">
        <v>1.3799448022079119</v>
      </c>
      <c r="N19" s="5" t="s">
        <v>61</v>
      </c>
      <c r="O19" s="113">
        <v>112.9</v>
      </c>
      <c r="P19" s="113">
        <v>112.9</v>
      </c>
    </row>
    <row r="20" spans="1:20" ht="13.5" thickBot="1" x14ac:dyDescent="0.25">
      <c r="A20" s="36">
        <f t="shared" si="3"/>
        <v>2024</v>
      </c>
      <c r="B20" s="37">
        <f t="shared" si="4"/>
        <v>4</v>
      </c>
      <c r="C20" s="57">
        <v>45627</v>
      </c>
      <c r="D20" s="49">
        <v>288.90479972305923</v>
      </c>
      <c r="E20" s="49">
        <v>560.73021593013584</v>
      </c>
      <c r="F20" s="49">
        <v>194.21988510480918</v>
      </c>
      <c r="G20" s="50">
        <v>365.91153486662074</v>
      </c>
      <c r="H20" s="49">
        <v>562.18181272553466</v>
      </c>
      <c r="I20" s="51">
        <v>394.44730855723662</v>
      </c>
      <c r="J20" s="52">
        <v>1.3799448022079119</v>
      </c>
      <c r="N20" s="5" t="s">
        <v>67</v>
      </c>
      <c r="O20" s="119">
        <v>0</v>
      </c>
      <c r="P20" s="120">
        <v>0</v>
      </c>
    </row>
    <row r="21" spans="1:20" x14ac:dyDescent="0.2">
      <c r="A21" s="205">
        <f t="shared" si="3"/>
        <v>2025</v>
      </c>
      <c r="B21" s="205">
        <f>B9</f>
        <v>1</v>
      </c>
      <c r="C21" s="53">
        <v>45658</v>
      </c>
      <c r="D21" s="45">
        <v>284.58913687274907</v>
      </c>
      <c r="E21" s="45">
        <v>541.86295922657825</v>
      </c>
      <c r="F21" s="45">
        <v>193.63761614536469</v>
      </c>
      <c r="G21" s="46">
        <v>362.10658038048018</v>
      </c>
      <c r="H21" s="45">
        <v>553.76122022864513</v>
      </c>
      <c r="I21" s="47">
        <v>388.69229064611164</v>
      </c>
      <c r="J21" s="44">
        <v>1.3799448022079119</v>
      </c>
      <c r="N21" s="5" t="s">
        <v>68</v>
      </c>
      <c r="O21" s="121">
        <v>1.61</v>
      </c>
      <c r="P21" s="119">
        <v>1.61</v>
      </c>
    </row>
    <row r="22" spans="1:20" x14ac:dyDescent="0.2">
      <c r="A22" s="205">
        <f t="shared" si="3"/>
        <v>2025</v>
      </c>
      <c r="B22" s="205">
        <f>B21</f>
        <v>1</v>
      </c>
      <c r="C22" s="53">
        <v>45689</v>
      </c>
      <c r="D22" s="45">
        <v>283.72593594452326</v>
      </c>
      <c r="E22" s="45">
        <v>534.93538823774065</v>
      </c>
      <c r="F22" s="45">
        <v>191.80175424346098</v>
      </c>
      <c r="G22" s="46">
        <v>361.23719547002571</v>
      </c>
      <c r="H22" s="45">
        <v>551.09225088271148</v>
      </c>
      <c r="I22" s="47">
        <v>387.04210376550412</v>
      </c>
      <c r="J22" s="48">
        <v>1.3799448022079119</v>
      </c>
      <c r="N22" s="5" t="s">
        <v>69</v>
      </c>
      <c r="O22" s="119">
        <v>234.81533993641861</v>
      </c>
      <c r="P22" s="119">
        <v>236.55739324897542</v>
      </c>
    </row>
    <row r="23" spans="1:20" x14ac:dyDescent="0.2">
      <c r="A23" s="205">
        <f t="shared" si="3"/>
        <v>2025</v>
      </c>
      <c r="B23" s="205">
        <f>B22</f>
        <v>1</v>
      </c>
      <c r="C23" s="53">
        <v>45717</v>
      </c>
      <c r="D23" s="45">
        <v>289.62545041935579</v>
      </c>
      <c r="E23" s="45">
        <v>544.88023758583699</v>
      </c>
      <c r="F23" s="45">
        <v>199.2746273856319</v>
      </c>
      <c r="G23" s="46">
        <v>365.89423688832807</v>
      </c>
      <c r="H23" s="45">
        <v>557.65539059923549</v>
      </c>
      <c r="I23" s="47">
        <v>392.40147662305094</v>
      </c>
      <c r="J23" s="48">
        <v>1.3799448022079119</v>
      </c>
      <c r="N23" s="5" t="s">
        <v>70</v>
      </c>
      <c r="O23" s="119">
        <v>223.08628886357101</v>
      </c>
      <c r="P23" s="119">
        <v>236.94368252364396</v>
      </c>
    </row>
    <row r="24" spans="1:20" x14ac:dyDescent="0.2">
      <c r="A24" s="205">
        <f t="shared" si="3"/>
        <v>2025</v>
      </c>
      <c r="B24" s="205">
        <f>B23+1</f>
        <v>2</v>
      </c>
      <c r="C24" s="53">
        <v>45748</v>
      </c>
      <c r="D24" s="45">
        <v>290.40606873369427</v>
      </c>
      <c r="E24" s="45">
        <v>552.6534788677252</v>
      </c>
      <c r="F24" s="45">
        <v>204.92080720536092</v>
      </c>
      <c r="G24" s="46">
        <v>366.73226221711639</v>
      </c>
      <c r="H24" s="45">
        <v>560.53999695581206</v>
      </c>
      <c r="I24" s="47">
        <v>394.13249921585447</v>
      </c>
      <c r="J24" s="48">
        <v>1.3799448022079119</v>
      </c>
    </row>
    <row r="25" spans="1:20" x14ac:dyDescent="0.2">
      <c r="A25" s="205">
        <f t="shared" si="3"/>
        <v>2025</v>
      </c>
      <c r="B25" s="205">
        <f t="shared" ref="B25:B32" si="5">B24</f>
        <v>2</v>
      </c>
      <c r="C25" s="53">
        <v>45778</v>
      </c>
      <c r="D25" s="45">
        <v>300.6838086883663</v>
      </c>
      <c r="E25" s="45">
        <v>565.30598017061811</v>
      </c>
      <c r="F25" s="45">
        <v>222.11964075768904</v>
      </c>
      <c r="G25" s="46">
        <v>374.6849396363138</v>
      </c>
      <c r="H25" s="45">
        <v>570.51488748944485</v>
      </c>
      <c r="I25" s="47">
        <v>402.72977772115121</v>
      </c>
      <c r="J25" s="48">
        <v>1.3799448022079119</v>
      </c>
    </row>
    <row r="26" spans="1:20" x14ac:dyDescent="0.2">
      <c r="A26" s="205">
        <f t="shared" si="3"/>
        <v>2025</v>
      </c>
      <c r="B26" s="205">
        <f t="shared" si="5"/>
        <v>2</v>
      </c>
      <c r="C26" s="53">
        <v>45809</v>
      </c>
      <c r="D26" s="45">
        <v>291.16415342061424</v>
      </c>
      <c r="E26" s="45">
        <v>560.10541846738681</v>
      </c>
      <c r="F26" s="45">
        <v>232.00423736741556</v>
      </c>
      <c r="G26" s="46">
        <v>367.54276770999985</v>
      </c>
      <c r="H26" s="45">
        <v>563.31107497709945</v>
      </c>
      <c r="I26" s="47">
        <v>395.79821643940375</v>
      </c>
      <c r="J26" s="48">
        <v>1.3799448022079119</v>
      </c>
    </row>
    <row r="27" spans="1:20" x14ac:dyDescent="0.2">
      <c r="A27" s="205">
        <f t="shared" si="3"/>
        <v>2025</v>
      </c>
      <c r="B27" s="205">
        <f>B26+1</f>
        <v>3</v>
      </c>
      <c r="C27" s="53">
        <v>45839</v>
      </c>
      <c r="D27" s="45">
        <v>317.97104474696624</v>
      </c>
      <c r="E27" s="45">
        <v>572.67945346053341</v>
      </c>
      <c r="F27" s="45">
        <v>253.513489255248</v>
      </c>
      <c r="G27" s="46">
        <v>387.58365874832759</v>
      </c>
      <c r="H27" s="45">
        <v>582.95019334286417</v>
      </c>
      <c r="I27" s="47">
        <v>414.9895035033627</v>
      </c>
      <c r="J27" s="48">
        <v>1.3799448022079119</v>
      </c>
    </row>
    <row r="28" spans="1:20" ht="14.25" x14ac:dyDescent="0.2">
      <c r="A28" s="205">
        <f t="shared" si="3"/>
        <v>2025</v>
      </c>
      <c r="B28" s="205">
        <f t="shared" si="5"/>
        <v>3</v>
      </c>
      <c r="C28" s="53">
        <v>45870</v>
      </c>
      <c r="D28" s="45">
        <v>322.04487696174766</v>
      </c>
      <c r="E28" s="45">
        <v>577.20101359247826</v>
      </c>
      <c r="F28" s="45">
        <v>239.52219941488255</v>
      </c>
      <c r="G28" s="46">
        <v>390.71894186565038</v>
      </c>
      <c r="H28" s="45">
        <v>586.74987755387758</v>
      </c>
      <c r="I28" s="47">
        <v>418.31913704982395</v>
      </c>
      <c r="J28" s="48">
        <v>1.3799448022079119</v>
      </c>
      <c r="N28" s="64"/>
      <c r="O28" s="42"/>
      <c r="P28" s="42"/>
      <c r="T28" s="357"/>
    </row>
    <row r="29" spans="1:20" ht="14.25" x14ac:dyDescent="0.2">
      <c r="A29" s="205">
        <f t="shared" si="3"/>
        <v>2025</v>
      </c>
      <c r="B29" s="205">
        <f t="shared" si="5"/>
        <v>3</v>
      </c>
      <c r="C29" s="53">
        <v>45901</v>
      </c>
      <c r="D29" s="45">
        <v>315.12004931078195</v>
      </c>
      <c r="E29" s="45">
        <v>587.06815816323785</v>
      </c>
      <c r="F29" s="45">
        <v>214.26708279125199</v>
      </c>
      <c r="G29" s="46">
        <v>385.99243610325112</v>
      </c>
      <c r="H29" s="45">
        <v>585.77163912731567</v>
      </c>
      <c r="I29" s="47">
        <v>415.43708927107497</v>
      </c>
      <c r="J29" s="48">
        <v>1.3799448022079119</v>
      </c>
      <c r="N29" s="116" t="s">
        <v>129</v>
      </c>
      <c r="O29" s="114">
        <v>90.15</v>
      </c>
      <c r="P29" s="114">
        <f>O29</f>
        <v>90.15</v>
      </c>
      <c r="Q29" t="s">
        <v>115</v>
      </c>
      <c r="T29" s="358"/>
    </row>
    <row r="30" spans="1:20" ht="14.25" x14ac:dyDescent="0.2">
      <c r="A30" s="205">
        <f t="shared" si="3"/>
        <v>2025</v>
      </c>
      <c r="B30" s="205">
        <f>B29+1</f>
        <v>4</v>
      </c>
      <c r="C30" s="53">
        <v>45931</v>
      </c>
      <c r="D30" s="45">
        <v>304.89252176540697</v>
      </c>
      <c r="E30" s="45">
        <v>572.60014226974238</v>
      </c>
      <c r="F30" s="45">
        <v>217.1856886969976</v>
      </c>
      <c r="G30" s="46">
        <v>378.01412563314324</v>
      </c>
      <c r="H30" s="45">
        <v>575.25932297889267</v>
      </c>
      <c r="I30" s="47">
        <v>406.58472588061312</v>
      </c>
      <c r="J30" s="48">
        <v>1.3799448022079119</v>
      </c>
      <c r="N30" s="64" t="str">
        <f>N29</f>
        <v>Contribution totale ASRA, Connue</v>
      </c>
      <c r="O30" s="115">
        <v>7.3899999999999993E-2</v>
      </c>
      <c r="P30" s="115">
        <f>O30</f>
        <v>7.3899999999999993E-2</v>
      </c>
      <c r="Q30" t="s">
        <v>126</v>
      </c>
      <c r="T30" s="358"/>
    </row>
    <row r="31" spans="1:20" x14ac:dyDescent="0.2">
      <c r="A31" s="205">
        <f t="shared" si="3"/>
        <v>2025</v>
      </c>
      <c r="B31" s="205">
        <f t="shared" si="5"/>
        <v>4</v>
      </c>
      <c r="C31" s="53">
        <v>45962</v>
      </c>
      <c r="D31" s="45">
        <v>292.97647814519604</v>
      </c>
      <c r="E31" s="45">
        <v>563.60875394834648</v>
      </c>
      <c r="F31" s="45">
        <v>199.65631882607337</v>
      </c>
      <c r="G31" s="46">
        <v>368.98880469655512</v>
      </c>
      <c r="H31" s="45">
        <v>565.46723367488039</v>
      </c>
      <c r="I31" s="47">
        <v>397.51555180853524</v>
      </c>
      <c r="J31" s="48">
        <v>1.3799448022079119</v>
      </c>
    </row>
    <row r="32" spans="1:20" ht="13.5" thickBot="1" x14ac:dyDescent="0.25">
      <c r="A32" s="36">
        <f t="shared" si="3"/>
        <v>2025</v>
      </c>
      <c r="B32" s="37">
        <f t="shared" si="5"/>
        <v>4</v>
      </c>
      <c r="C32" s="53">
        <v>45992</v>
      </c>
      <c r="D32" s="45">
        <v>302.41849089857266</v>
      </c>
      <c r="E32" s="45">
        <v>574.42037088185043</v>
      </c>
      <c r="F32" s="45">
        <v>189.23622484523318</v>
      </c>
      <c r="G32" s="50">
        <v>376.2669216471885</v>
      </c>
      <c r="H32" s="49">
        <v>574.37747502554748</v>
      </c>
      <c r="I32" s="51">
        <v>405.28524093184899</v>
      </c>
      <c r="J32" s="52">
        <v>1.3799448022079119</v>
      </c>
    </row>
    <row r="33" spans="1:10" x14ac:dyDescent="0.2">
      <c r="A33" s="205">
        <f t="shared" si="3"/>
        <v>1900</v>
      </c>
      <c r="B33" s="205">
        <f>B21</f>
        <v>1</v>
      </c>
      <c r="C33" s="54"/>
      <c r="D33" s="55">
        <v>0</v>
      </c>
      <c r="E33" s="55">
        <v>0</v>
      </c>
      <c r="F33" s="56">
        <v>0</v>
      </c>
      <c r="G33" s="46">
        <v>0</v>
      </c>
      <c r="H33" s="45">
        <v>0</v>
      </c>
      <c r="I33" s="47">
        <v>0</v>
      </c>
      <c r="J33" s="44"/>
    </row>
    <row r="34" spans="1:10" x14ac:dyDescent="0.2">
      <c r="A34" s="205">
        <f t="shared" si="3"/>
        <v>1900</v>
      </c>
      <c r="B34" s="205">
        <f>B33</f>
        <v>1</v>
      </c>
      <c r="C34" s="53"/>
      <c r="D34" s="45">
        <v>0</v>
      </c>
      <c r="E34" s="45">
        <v>0</v>
      </c>
      <c r="F34" s="47">
        <v>0</v>
      </c>
      <c r="G34" s="46">
        <v>0</v>
      </c>
      <c r="H34" s="45">
        <v>0</v>
      </c>
      <c r="I34" s="47">
        <v>0</v>
      </c>
      <c r="J34" s="48"/>
    </row>
    <row r="35" spans="1:10" x14ac:dyDescent="0.2">
      <c r="A35" s="205">
        <f t="shared" si="3"/>
        <v>1900</v>
      </c>
      <c r="B35" s="205">
        <f>B34</f>
        <v>1</v>
      </c>
      <c r="C35" s="53"/>
      <c r="D35" s="45">
        <v>0</v>
      </c>
      <c r="E35" s="45">
        <v>0</v>
      </c>
      <c r="F35" s="47">
        <v>0</v>
      </c>
      <c r="G35" s="46">
        <v>0</v>
      </c>
      <c r="H35" s="45">
        <v>0</v>
      </c>
      <c r="I35" s="47">
        <v>0</v>
      </c>
      <c r="J35" s="48"/>
    </row>
    <row r="36" spans="1:10" x14ac:dyDescent="0.2">
      <c r="A36" s="205">
        <f t="shared" si="3"/>
        <v>1900</v>
      </c>
      <c r="B36" s="205">
        <f>B35+1</f>
        <v>2</v>
      </c>
      <c r="C36" s="53"/>
      <c r="D36" s="45">
        <v>0</v>
      </c>
      <c r="E36" s="45">
        <v>0</v>
      </c>
      <c r="F36" s="47">
        <v>0</v>
      </c>
      <c r="G36" s="46">
        <v>0</v>
      </c>
      <c r="H36" s="45">
        <v>0</v>
      </c>
      <c r="I36" s="47">
        <v>0</v>
      </c>
      <c r="J36" s="48"/>
    </row>
    <row r="37" spans="1:10" x14ac:dyDescent="0.2">
      <c r="A37" s="205">
        <f t="shared" si="3"/>
        <v>1900</v>
      </c>
      <c r="B37" s="205">
        <f>B36</f>
        <v>2</v>
      </c>
      <c r="C37" s="53"/>
      <c r="D37" s="45">
        <v>0</v>
      </c>
      <c r="E37" s="45">
        <v>0</v>
      </c>
      <c r="F37" s="47">
        <v>0</v>
      </c>
      <c r="G37" s="46">
        <v>0</v>
      </c>
      <c r="H37" s="45">
        <v>0</v>
      </c>
      <c r="I37" s="47">
        <v>0</v>
      </c>
      <c r="J37" s="48"/>
    </row>
    <row r="38" spans="1:10" x14ac:dyDescent="0.2">
      <c r="A38" s="205">
        <f t="shared" si="3"/>
        <v>1900</v>
      </c>
      <c r="B38" s="205">
        <f>B37</f>
        <v>2</v>
      </c>
      <c r="C38" s="53"/>
      <c r="D38" s="45">
        <v>0</v>
      </c>
      <c r="E38" s="45">
        <v>0</v>
      </c>
      <c r="F38" s="47">
        <v>0</v>
      </c>
      <c r="G38" s="46">
        <v>0</v>
      </c>
      <c r="H38" s="45">
        <v>0</v>
      </c>
      <c r="I38" s="47">
        <v>0</v>
      </c>
      <c r="J38" s="48"/>
    </row>
    <row r="39" spans="1:10" x14ac:dyDescent="0.2">
      <c r="A39" s="205">
        <f t="shared" si="3"/>
        <v>1900</v>
      </c>
      <c r="B39" s="205">
        <f>B38+1</f>
        <v>3</v>
      </c>
      <c r="C39" s="53"/>
      <c r="D39" s="45">
        <v>0</v>
      </c>
      <c r="E39" s="45">
        <v>0</v>
      </c>
      <c r="F39" s="47">
        <v>0</v>
      </c>
      <c r="G39" s="46">
        <v>0</v>
      </c>
      <c r="H39" s="45">
        <v>0</v>
      </c>
      <c r="I39" s="47">
        <v>0</v>
      </c>
      <c r="J39" s="48"/>
    </row>
    <row r="40" spans="1:10" x14ac:dyDescent="0.2">
      <c r="A40" s="205">
        <f t="shared" si="3"/>
        <v>1900</v>
      </c>
      <c r="B40" s="205">
        <f>B39</f>
        <v>3</v>
      </c>
      <c r="C40" s="53"/>
      <c r="D40" s="45">
        <v>0</v>
      </c>
      <c r="E40" s="45">
        <v>0</v>
      </c>
      <c r="F40" s="47">
        <v>0</v>
      </c>
      <c r="G40" s="46">
        <v>0</v>
      </c>
      <c r="H40" s="45">
        <v>0</v>
      </c>
      <c r="I40" s="47">
        <v>0</v>
      </c>
      <c r="J40" s="48"/>
    </row>
    <row r="41" spans="1:10" x14ac:dyDescent="0.2">
      <c r="A41" s="205">
        <f t="shared" si="3"/>
        <v>1900</v>
      </c>
      <c r="B41" s="205">
        <f>B40</f>
        <v>3</v>
      </c>
      <c r="C41" s="53"/>
      <c r="D41" s="45">
        <v>0</v>
      </c>
      <c r="E41" s="45">
        <v>0</v>
      </c>
      <c r="F41" s="47">
        <v>0</v>
      </c>
      <c r="G41" s="46">
        <v>0</v>
      </c>
      <c r="H41" s="45">
        <v>0</v>
      </c>
      <c r="I41" s="47">
        <v>0</v>
      </c>
      <c r="J41" s="48"/>
    </row>
    <row r="42" spans="1:10" x14ac:dyDescent="0.2">
      <c r="A42" s="205">
        <f t="shared" si="3"/>
        <v>1900</v>
      </c>
      <c r="B42" s="205">
        <f>B41+1</f>
        <v>4</v>
      </c>
      <c r="C42" s="53"/>
      <c r="D42" s="45">
        <v>0</v>
      </c>
      <c r="E42" s="45">
        <v>0</v>
      </c>
      <c r="F42" s="47">
        <v>0</v>
      </c>
      <c r="G42" s="46">
        <v>0</v>
      </c>
      <c r="H42" s="45">
        <v>0</v>
      </c>
      <c r="I42" s="47">
        <v>0</v>
      </c>
      <c r="J42" s="48"/>
    </row>
    <row r="43" spans="1:10" x14ac:dyDescent="0.2">
      <c r="A43" s="205">
        <f t="shared" si="3"/>
        <v>1900</v>
      </c>
      <c r="B43" s="205">
        <f>B42</f>
        <v>4</v>
      </c>
      <c r="C43" s="53"/>
      <c r="D43" s="45">
        <v>0</v>
      </c>
      <c r="E43" s="45">
        <v>0</v>
      </c>
      <c r="F43" s="47">
        <v>0</v>
      </c>
      <c r="G43" s="46">
        <v>0</v>
      </c>
      <c r="H43" s="45">
        <v>0</v>
      </c>
      <c r="I43" s="47">
        <v>0</v>
      </c>
      <c r="J43" s="48"/>
    </row>
    <row r="44" spans="1:10" ht="13.5" thickBot="1" x14ac:dyDescent="0.25">
      <c r="A44" s="36">
        <f t="shared" si="3"/>
        <v>1900</v>
      </c>
      <c r="B44" s="37">
        <f>B43</f>
        <v>4</v>
      </c>
      <c r="C44" s="57"/>
      <c r="D44" s="49">
        <v>0</v>
      </c>
      <c r="E44" s="49">
        <v>0</v>
      </c>
      <c r="F44" s="51">
        <v>0</v>
      </c>
      <c r="G44" s="50">
        <v>0</v>
      </c>
      <c r="H44" s="49">
        <v>0</v>
      </c>
      <c r="I44" s="51">
        <v>0</v>
      </c>
      <c r="J44" s="52"/>
    </row>
  </sheetData>
  <sheetProtection algorithmName="SHA-512" hashValue="h9exJsQI25CbkcqpPpj+WwZ1qsEX0p4JPfg8xlB/dbP/aPIAwUSBoqwVSwRcqvY++vJS3+o6Y9G6ehZFcOJzMw==" saltValue="Y0f/Y2UrfcCWaSBcnnokWw==" spinCount="100000" sheet="1" objects="1" scenarios="1" selectLockedCells="1"/>
  <printOptions horizontalCentered="1"/>
  <pageMargins left="0.19685039370078741" right="0.23622047244094491" top="0.55118110236220474" bottom="0.39370078740157483" header="0.27559055118110237" footer="0.15748031496062992"/>
  <pageSetup scale="96" orientation="landscape" r:id="rId1"/>
  <headerFooter alignWithMargins="0"/>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26"/>
  <sheetViews>
    <sheetView showGridLines="0" zoomScale="80" zoomScaleNormal="80" workbookViewId="0">
      <selection activeCell="O6" sqref="O6"/>
    </sheetView>
  </sheetViews>
  <sheetFormatPr baseColWidth="10" defaultColWidth="10.7109375" defaultRowHeight="15" x14ac:dyDescent="0.2"/>
  <cols>
    <col min="1" max="1" width="3.42578125" style="6" customWidth="1"/>
    <col min="2" max="6" width="10.7109375" style="6"/>
    <col min="7" max="7" width="6.42578125" style="6" customWidth="1"/>
    <col min="8" max="8" width="10.7109375" style="6"/>
    <col min="9" max="9" width="18.7109375" style="6" customWidth="1"/>
    <col min="10" max="10" width="12.28515625" style="6" bestFit="1" customWidth="1"/>
    <col min="11" max="11" width="11.42578125" style="6" bestFit="1" customWidth="1"/>
    <col min="12" max="12" width="11.42578125" style="6" customWidth="1"/>
    <col min="13" max="13" width="7.140625" style="6" customWidth="1"/>
    <col min="14" max="14" width="13.7109375" style="6" bestFit="1" customWidth="1"/>
    <col min="15" max="15" width="13.140625" style="6" customWidth="1"/>
    <col min="16" max="16" width="15.42578125" style="6" customWidth="1"/>
    <col min="17" max="17" width="10.7109375" style="6" customWidth="1"/>
    <col min="18" max="18" width="10.140625" style="6" customWidth="1"/>
    <col min="19" max="19" width="10.42578125" style="6" customWidth="1"/>
    <col min="20" max="20" width="10.7109375" style="6" customWidth="1"/>
    <col min="21" max="21" width="8.140625" style="6" customWidth="1"/>
    <col min="22" max="22" width="7.7109375" style="6" customWidth="1"/>
    <col min="23" max="16384" width="10.7109375" style="6"/>
  </cols>
  <sheetData>
    <row r="1" spans="2:22" x14ac:dyDescent="0.2">
      <c r="B1" s="140" t="s">
        <v>86</v>
      </c>
      <c r="C1" s="6" t="s">
        <v>109</v>
      </c>
    </row>
    <row r="2" spans="2:22" x14ac:dyDescent="0.2">
      <c r="B2" s="6" t="s">
        <v>13</v>
      </c>
    </row>
    <row r="4" spans="2:22" x14ac:dyDescent="0.2">
      <c r="B4" s="6" t="s">
        <v>14</v>
      </c>
    </row>
    <row r="5" spans="2:22" x14ac:dyDescent="0.2">
      <c r="B5" s="6" t="s">
        <v>28</v>
      </c>
    </row>
    <row r="6" spans="2:22" x14ac:dyDescent="0.2">
      <c r="B6" s="6" t="s">
        <v>15</v>
      </c>
    </row>
    <row r="7" spans="2:22" x14ac:dyDescent="0.2">
      <c r="B7" s="6" t="s">
        <v>16</v>
      </c>
    </row>
    <row r="8" spans="2:22" x14ac:dyDescent="0.2">
      <c r="B8" s="6" t="s">
        <v>17</v>
      </c>
    </row>
    <row r="9" spans="2:22" x14ac:dyDescent="0.2">
      <c r="J9" s="405" t="s">
        <v>35</v>
      </c>
      <c r="K9" s="405"/>
      <c r="L9" s="405"/>
      <c r="N9" s="405" t="s">
        <v>33</v>
      </c>
      <c r="O9" s="405"/>
      <c r="Q9" s="79" t="s">
        <v>59</v>
      </c>
      <c r="R9" s="80"/>
      <c r="S9" s="80"/>
      <c r="T9" s="78"/>
    </row>
    <row r="10" spans="2:22" x14ac:dyDescent="0.2">
      <c r="B10" s="7" t="s">
        <v>18</v>
      </c>
      <c r="C10" s="8"/>
      <c r="D10" s="8"/>
      <c r="E10" s="8"/>
      <c r="F10" s="9"/>
      <c r="H10" s="6" t="s">
        <v>36</v>
      </c>
      <c r="J10" s="16" t="s">
        <v>25</v>
      </c>
      <c r="K10" s="16" t="s">
        <v>26</v>
      </c>
      <c r="L10" s="21" t="s">
        <v>34</v>
      </c>
      <c r="N10" s="16" t="s">
        <v>25</v>
      </c>
      <c r="O10" s="16" t="s">
        <v>26</v>
      </c>
      <c r="Q10" s="77" t="s">
        <v>57</v>
      </c>
      <c r="R10" s="78"/>
      <c r="S10" s="77" t="s">
        <v>58</v>
      </c>
      <c r="T10" s="78"/>
    </row>
    <row r="11" spans="2:22" x14ac:dyDescent="0.2">
      <c r="B11" s="10"/>
      <c r="D11" s="6" t="s">
        <v>24</v>
      </c>
      <c r="E11" s="19">
        <v>0.1</v>
      </c>
      <c r="F11" s="11" t="s">
        <v>21</v>
      </c>
      <c r="H11" s="6">
        <v>2006</v>
      </c>
      <c r="J11" s="74">
        <v>305.29000000000002</v>
      </c>
      <c r="K11" s="74">
        <v>20.29</v>
      </c>
      <c r="L11" s="74">
        <f>K11/0.854</f>
        <v>23.75878220140515</v>
      </c>
      <c r="N11" s="74">
        <v>39.1</v>
      </c>
      <c r="O11" s="75">
        <v>1.91</v>
      </c>
      <c r="P11" s="17"/>
      <c r="Q11" s="81" t="s">
        <v>25</v>
      </c>
      <c r="R11" s="82" t="s">
        <v>60</v>
      </c>
      <c r="S11" s="83" t="s">
        <v>9</v>
      </c>
      <c r="T11" s="82" t="s">
        <v>60</v>
      </c>
    </row>
    <row r="12" spans="2:22" x14ac:dyDescent="0.2">
      <c r="B12" s="10"/>
      <c r="D12" s="6" t="s">
        <v>23</v>
      </c>
      <c r="E12" s="19">
        <v>0.15</v>
      </c>
      <c r="F12" s="11" t="s">
        <v>21</v>
      </c>
      <c r="H12" s="6">
        <v>2007</v>
      </c>
      <c r="I12" s="67" t="s">
        <v>56</v>
      </c>
      <c r="J12" s="74">
        <v>367.79</v>
      </c>
      <c r="K12" s="74">
        <v>31.7</v>
      </c>
      <c r="L12" s="74">
        <f>K12/0.854</f>
        <v>37.119437939110071</v>
      </c>
      <c r="N12" s="74">
        <v>63.16</v>
      </c>
      <c r="O12" s="75">
        <v>4.25</v>
      </c>
      <c r="P12" s="17"/>
      <c r="Q12" s="90"/>
      <c r="R12" s="86"/>
      <c r="S12" s="91"/>
      <c r="T12" s="86"/>
    </row>
    <row r="13" spans="2:22" x14ac:dyDescent="0.2">
      <c r="B13" s="10"/>
      <c r="D13" s="6" t="s">
        <v>22</v>
      </c>
      <c r="E13" s="19">
        <v>0.2</v>
      </c>
      <c r="F13" s="11" t="s">
        <v>21</v>
      </c>
      <c r="H13" s="6">
        <v>2008</v>
      </c>
      <c r="I13" s="67" t="s">
        <v>56</v>
      </c>
      <c r="J13" s="74">
        <v>570</v>
      </c>
      <c r="K13" s="74">
        <v>46.09</v>
      </c>
      <c r="L13" s="74">
        <f>K13/0.854</f>
        <v>53.969555035128813</v>
      </c>
      <c r="N13" s="74">
        <v>111.9</v>
      </c>
      <c r="O13" s="75">
        <v>8.5500000000000007</v>
      </c>
      <c r="P13" s="17"/>
      <c r="Q13" s="90"/>
      <c r="R13" s="86"/>
      <c r="S13" s="91"/>
      <c r="T13" s="86"/>
    </row>
    <row r="14" spans="2:22" x14ac:dyDescent="0.2">
      <c r="B14" s="10"/>
      <c r="D14" s="6" t="s">
        <v>20</v>
      </c>
      <c r="E14" s="19">
        <v>0.25</v>
      </c>
      <c r="F14" s="11" t="s">
        <v>21</v>
      </c>
      <c r="H14" s="6">
        <v>2009</v>
      </c>
      <c r="I14" s="67" t="s">
        <v>56</v>
      </c>
      <c r="J14" s="74">
        <v>437.7</v>
      </c>
      <c r="K14" s="74">
        <v>35.92</v>
      </c>
      <c r="L14" s="74">
        <f>K14/0.9214</f>
        <v>38.984154547427828</v>
      </c>
      <c r="N14" s="74">
        <v>133.28</v>
      </c>
      <c r="O14" s="76">
        <v>11.47</v>
      </c>
      <c r="P14" s="17"/>
      <c r="Q14" s="90"/>
      <c r="R14" s="86"/>
      <c r="S14" s="91"/>
      <c r="T14" s="86"/>
    </row>
    <row r="15" spans="2:22" x14ac:dyDescent="0.2">
      <c r="B15" s="12"/>
      <c r="C15" s="13"/>
      <c r="D15" s="13" t="s">
        <v>19</v>
      </c>
      <c r="E15" s="20">
        <v>0.3</v>
      </c>
      <c r="F15" s="14" t="s">
        <v>21</v>
      </c>
      <c r="H15" s="6">
        <v>2010</v>
      </c>
      <c r="I15" s="67" t="s">
        <v>56</v>
      </c>
      <c r="J15" s="74">
        <v>164.74</v>
      </c>
      <c r="K15" s="74">
        <v>13.52</v>
      </c>
      <c r="L15" s="74">
        <f>K15/0.97</f>
        <v>13.938144329896907</v>
      </c>
      <c r="N15" s="74">
        <v>130.37</v>
      </c>
      <c r="O15" s="76">
        <v>10.79</v>
      </c>
      <c r="P15" s="17"/>
      <c r="Q15" s="84">
        <v>156.72999999999999</v>
      </c>
      <c r="R15" s="86">
        <f t="shared" ref="R15:R21" si="0">IF(Q15=0,"",Q15/N15)</f>
        <v>1.202193756232262</v>
      </c>
      <c r="S15" s="85">
        <v>13.01</v>
      </c>
      <c r="T15" s="86">
        <f t="shared" ref="T15:T21" si="1">IF(S15=0,"",S15/O15)</f>
        <v>1.205746061167748</v>
      </c>
      <c r="U15" s="92">
        <f>Q15/(N15*3)</f>
        <v>0.40073125207742061</v>
      </c>
      <c r="V15" s="92">
        <f>S15/(O15*3)</f>
        <v>0.40191535372258269</v>
      </c>
    </row>
    <row r="16" spans="2:22" x14ac:dyDescent="0.2">
      <c r="H16" s="6">
        <v>2011</v>
      </c>
      <c r="I16" s="67" t="s">
        <v>56</v>
      </c>
      <c r="J16" s="74">
        <v>199.99</v>
      </c>
      <c r="K16" s="74">
        <v>16.39</v>
      </c>
      <c r="L16" s="74">
        <f>K16/0.97</f>
        <v>16.896907216494846</v>
      </c>
      <c r="N16" s="74">
        <v>109.68</v>
      </c>
      <c r="O16" s="76">
        <v>9.15</v>
      </c>
      <c r="P16" s="17"/>
      <c r="Q16" s="84">
        <v>143.47999999999999</v>
      </c>
      <c r="R16" s="86">
        <f t="shared" si="0"/>
        <v>1.3081692195477752</v>
      </c>
      <c r="S16" s="85">
        <v>12.04</v>
      </c>
      <c r="T16" s="86">
        <f t="shared" si="1"/>
        <v>1.3158469945355189</v>
      </c>
      <c r="U16" s="92">
        <f>Q16/(N16*3)</f>
        <v>0.43605640651592503</v>
      </c>
      <c r="V16" s="92">
        <f>S16/(O16*3)</f>
        <v>0.43861566484517295</v>
      </c>
    </row>
    <row r="17" spans="2:22" x14ac:dyDescent="0.2">
      <c r="D17" s="95" t="s">
        <v>29</v>
      </c>
      <c r="E17" s="16" t="s">
        <v>25</v>
      </c>
      <c r="F17" s="16" t="s">
        <v>26</v>
      </c>
      <c r="H17" s="6">
        <v>2012</v>
      </c>
      <c r="I17" s="4" t="str">
        <f>I16</f>
        <v>Final FADQ</v>
      </c>
      <c r="J17" s="74">
        <v>340.58</v>
      </c>
      <c r="K17" s="74">
        <f>L17*100.5/100</f>
        <v>27.949049999999996</v>
      </c>
      <c r="L17" s="74">
        <v>27.81</v>
      </c>
      <c r="N17" s="74">
        <v>109.87</v>
      </c>
      <c r="O17" s="76">
        <v>9.14</v>
      </c>
      <c r="P17" s="17"/>
      <c r="Q17" s="84">
        <v>168.81</v>
      </c>
      <c r="R17" s="86">
        <f>IF(Q17=0,"",Q17/N17)</f>
        <v>1.5364521707472467</v>
      </c>
      <c r="S17" s="85">
        <v>13.71</v>
      </c>
      <c r="T17" s="86">
        <f>IF(S17=0,"",S17/O17)</f>
        <v>1.5</v>
      </c>
      <c r="U17" s="92">
        <f>Q17/(N17*3)</f>
        <v>0.51215072358241553</v>
      </c>
      <c r="V17" s="92">
        <f>S17/(O17*3)</f>
        <v>0.5</v>
      </c>
    </row>
    <row r="18" spans="2:22" x14ac:dyDescent="0.2">
      <c r="D18" s="6">
        <v>2011</v>
      </c>
      <c r="E18" s="65">
        <v>15.94</v>
      </c>
      <c r="F18" s="65">
        <v>0.95</v>
      </c>
      <c r="H18" s="6">
        <v>2013</v>
      </c>
      <c r="I18" s="4" t="str">
        <f>I17</f>
        <v>Final FADQ</v>
      </c>
      <c r="J18" s="74">
        <v>168.38</v>
      </c>
      <c r="K18" s="74">
        <f>L18*100.5/100</f>
        <v>13.81875</v>
      </c>
      <c r="L18" s="74">
        <v>13.75</v>
      </c>
      <c r="N18" s="74">
        <v>90.21</v>
      </c>
      <c r="O18" s="76">
        <f>0.076/1.05*100</f>
        <v>7.2380952380952381</v>
      </c>
      <c r="P18" s="17"/>
      <c r="Q18" s="93">
        <f>N18*3*U18</f>
        <v>159.19675535081345</v>
      </c>
      <c r="R18" s="86">
        <f>IF(Q18=0,"",Q18/N18)</f>
        <v>1.7647351219467182</v>
      </c>
      <c r="S18" s="93">
        <f>O18*3*V18</f>
        <v>12.190059849076246</v>
      </c>
      <c r="T18" s="86">
        <f>IF(S18=0,"",S18/O18)</f>
        <v>1.6841530054644813</v>
      </c>
      <c r="U18" s="94">
        <f>2*U17-U16</f>
        <v>0.58824504064890604</v>
      </c>
      <c r="V18" s="94">
        <f>2*V17-V16</f>
        <v>0.56138433515482711</v>
      </c>
    </row>
    <row r="19" spans="2:22" x14ac:dyDescent="0.2">
      <c r="D19" s="95">
        <v>2013</v>
      </c>
      <c r="E19" s="65">
        <v>2.1800000000000002</v>
      </c>
      <c r="F19" s="65">
        <v>0.38</v>
      </c>
      <c r="H19" s="6">
        <v>2014</v>
      </c>
      <c r="I19" s="4" t="str">
        <f>I18</f>
        <v>Final FADQ</v>
      </c>
      <c r="J19" s="74">
        <v>0</v>
      </c>
      <c r="K19" s="74">
        <v>0</v>
      </c>
      <c r="L19" s="74">
        <v>0</v>
      </c>
      <c r="N19" s="74">
        <v>22.07</v>
      </c>
      <c r="O19" s="76">
        <f>0.0246/1.05*100</f>
        <v>2.3428571428571425</v>
      </c>
      <c r="P19" s="17"/>
      <c r="Q19" s="93">
        <f>N19*3*U19</f>
        <v>43.98590887433641</v>
      </c>
      <c r="R19" s="86">
        <f>IF(Q19=0,"",Q19/N19)</f>
        <v>1.9930180731461897</v>
      </c>
      <c r="S19" s="93">
        <f>O19*3*V19</f>
        <v>4.3771740827478549</v>
      </c>
      <c r="T19" s="86">
        <f>IF(S19=0,"",S19/O19)</f>
        <v>1.8683060109289626</v>
      </c>
      <c r="U19" s="94">
        <f>2*U18-U17</f>
        <v>0.66433935771539654</v>
      </c>
      <c r="V19" s="94">
        <f>2*V18-V17</f>
        <v>0.62276867030965422</v>
      </c>
    </row>
    <row r="20" spans="2:22" x14ac:dyDescent="0.2">
      <c r="D20" s="6" t="s">
        <v>39</v>
      </c>
      <c r="E20" s="66">
        <v>22.2</v>
      </c>
      <c r="F20" s="66">
        <v>1.95</v>
      </c>
      <c r="H20" s="6">
        <v>2015</v>
      </c>
      <c r="I20" s="4" t="s">
        <v>27</v>
      </c>
      <c r="J20" s="18" t="e">
        <f>HLOOKUP($H20,Saisie!$O$10:$P$27,7,FALSE)</f>
        <v>#N/A</v>
      </c>
      <c r="K20" s="18" t="e">
        <f>L20*1</f>
        <v>#N/A</v>
      </c>
      <c r="L20" s="18" t="e">
        <f>HLOOKUP($H20,Saisie!$O$10:$P$27,8,FALSE)</f>
        <v>#N/A</v>
      </c>
      <c r="N20" s="109" t="e">
        <f>(((J16*$E$11)+(J17*$E$12)+(J18*$E$13)+(J19*$E$14)+(J20*$E$15))/3)+$E$19</f>
        <v>#N/A</v>
      </c>
      <c r="O20" s="110" t="e">
        <f>(((L16*$E$11)+(L17*$E$12)+(L18*$E$13)+(L19*$E$14)+(L20*$E$15))/3)+$F$19</f>
        <v>#N/A</v>
      </c>
      <c r="P20" s="17"/>
      <c r="Q20" s="84"/>
      <c r="R20" s="86" t="str">
        <f t="shared" si="0"/>
        <v/>
      </c>
      <c r="S20" s="85"/>
      <c r="T20" s="86" t="str">
        <f t="shared" si="1"/>
        <v/>
      </c>
    </row>
    <row r="21" spans="2:22" x14ac:dyDescent="0.2">
      <c r="B21" s="6" t="s">
        <v>30</v>
      </c>
      <c r="E21" s="15" t="s">
        <v>31</v>
      </c>
      <c r="F21" s="15" t="s">
        <v>31</v>
      </c>
      <c r="H21" s="6">
        <v>2016</v>
      </c>
      <c r="I21" s="4" t="s">
        <v>27</v>
      </c>
      <c r="J21" s="18"/>
      <c r="K21" s="18"/>
      <c r="L21" s="18"/>
      <c r="N21" s="109"/>
      <c r="O21" s="110"/>
      <c r="P21" s="17"/>
      <c r="Q21" s="87"/>
      <c r="R21" s="88" t="str">
        <f t="shared" si="0"/>
        <v/>
      </c>
      <c r="S21" s="89"/>
      <c r="T21" s="88" t="str">
        <f t="shared" si="1"/>
        <v/>
      </c>
    </row>
    <row r="22" spans="2:22" x14ac:dyDescent="0.2">
      <c r="B22" s="6" t="s">
        <v>32</v>
      </c>
      <c r="M22" s="95" t="s">
        <v>62</v>
      </c>
      <c r="N22" s="107">
        <f>91.46+(J26*0.3)/3</f>
        <v>92.614999999999995</v>
      </c>
      <c r="O22" s="96">
        <f>7.638+(K24*0.3)/3</f>
        <v>8.9244000000000003</v>
      </c>
      <c r="Q22" s="8"/>
      <c r="R22" s="8"/>
      <c r="S22" s="8"/>
      <c r="T22" s="8"/>
    </row>
    <row r="23" spans="2:22" x14ac:dyDescent="0.2">
      <c r="N23" s="96">
        <f>(1-(N17-N18)/N17)*N22</f>
        <v>76.042588058614712</v>
      </c>
      <c r="O23" s="96">
        <f>(1-(O17-O18)/O17)*O22</f>
        <v>7.067358549546733</v>
      </c>
    </row>
    <row r="24" spans="2:22" x14ac:dyDescent="0.2">
      <c r="I24" s="108" t="str">
        <f>M22</f>
        <v>FADQ estime 2013</v>
      </c>
      <c r="J24" s="111">
        <v>156.83000000000001</v>
      </c>
      <c r="K24" s="111">
        <v>12.864000000000001</v>
      </c>
    </row>
    <row r="26" spans="2:22" x14ac:dyDescent="0.2">
      <c r="J26" s="96">
        <f>J18-J24</f>
        <v>11.549999999999983</v>
      </c>
      <c r="K26" s="96">
        <f>K18-K24</f>
        <v>0.95474999999999888</v>
      </c>
    </row>
  </sheetData>
  <sheetProtection algorithmName="SHA-512" hashValue="TZgFLkCdrM6J+8/RI1UqXEX7h/0GK83bPmDPvKl4BHQO7DsMDZvkkXeUDGihjVPIdnGgN4IwWS0vntcQpyYosA==" saltValue="mvwiZFHjxGktMybD4LUPiw==" spinCount="100000" sheet="1" objects="1" scenarios="1" selectLockedCells="1"/>
  <mergeCells count="2">
    <mergeCell ref="J9:L9"/>
    <mergeCell ref="N9:O9"/>
  </mergeCells>
  <phoneticPr fontId="2" type="noConversion"/>
  <pageMargins left="0.70866141732283472" right="0.70866141732283472" top="0.74803149606299213" bottom="0.74803149606299213" header="0.31496062992125984" footer="0.31496062992125984"/>
  <pageSetup paperSize="5" scale="7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0049BAA21E7E4F80BE4AD55833F8AB" ma:contentTypeVersion="17" ma:contentTypeDescription="Crée un document." ma:contentTypeScope="" ma:versionID="6cb719e2cef9a45af458af21e992499d">
  <xsd:schema xmlns:xsd="http://www.w3.org/2001/XMLSchema" xmlns:xs="http://www.w3.org/2001/XMLSchema" xmlns:p="http://schemas.microsoft.com/office/2006/metadata/properties" xmlns:ns2="c2923c6d-ffb4-46d1-928f-9e14e27ee7a5" xmlns:ns3="d3dc7be6-3bb6-48c1-bdd5-392fa458784e" targetNamespace="http://schemas.microsoft.com/office/2006/metadata/properties" ma:root="true" ma:fieldsID="f39c0f86386348f99fcf50e22c3997ff" ns2:_="" ns3:_="">
    <xsd:import namespace="c2923c6d-ffb4-46d1-928f-9e14e27ee7a5"/>
    <xsd:import namespace="d3dc7be6-3bb6-48c1-bdd5-392fa45878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23c6d-ffb4-46d1-928f-9e14e27ee7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f2043388-4421-4dc8-b91a-63dd957a92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dc7be6-3bb6-48c1-bdd5-392fa458784e"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868ec25-9345-4b64-b2f0-aae3e49818bf}" ma:internalName="TaxCatchAll" ma:showField="CatchAllData" ma:web="d3dc7be6-3bb6-48c1-bdd5-392fa45878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923c6d-ffb4-46d1-928f-9e14e27ee7a5">
      <Terms xmlns="http://schemas.microsoft.com/office/infopath/2007/PartnerControls"/>
    </lcf76f155ced4ddcb4097134ff3c332f>
    <TaxCatchAll xmlns="d3dc7be6-3bb6-48c1-bdd5-392fa458784e" xsi:nil="true"/>
  </documentManagement>
</p:properties>
</file>

<file path=customXml/itemProps1.xml><?xml version="1.0" encoding="utf-8"?>
<ds:datastoreItem xmlns:ds="http://schemas.openxmlformats.org/officeDocument/2006/customXml" ds:itemID="{1411A25B-EF28-4229-B7FC-88606B1B5B37}">
  <ds:schemaRefs>
    <ds:schemaRef ds:uri="http://schemas.microsoft.com/sharepoint/v3/contenttype/forms"/>
  </ds:schemaRefs>
</ds:datastoreItem>
</file>

<file path=customXml/itemProps2.xml><?xml version="1.0" encoding="utf-8"?>
<ds:datastoreItem xmlns:ds="http://schemas.openxmlformats.org/officeDocument/2006/customXml" ds:itemID="{F4C69F93-60FC-4CF9-AD30-F6BBD0A54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23c6d-ffb4-46d1-928f-9e14e27ee7a5"/>
    <ds:schemaRef ds:uri="d3dc7be6-3bb6-48c1-bdd5-392fa4587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DDD3BE-5B36-4A25-AA23-47F0D11B0A09}">
  <ds:schemaRefs>
    <ds:schemaRef ds:uri="c2923c6d-ffb4-46d1-928f-9e14e27ee7a5"/>
    <ds:schemaRef ds:uri="http://purl.org/dc/terms/"/>
    <ds:schemaRef ds:uri="d3dc7be6-3bb6-48c1-bdd5-392fa458784e"/>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15</vt:i4>
      </vt:variant>
    </vt:vector>
  </HeadingPairs>
  <TitlesOfParts>
    <vt:vector size="21" baseType="lpstr">
      <vt:lpstr>Information</vt:lpstr>
      <vt:lpstr>Résultats vs 2023</vt:lpstr>
      <vt:lpstr>Réductions du prix des porcs</vt:lpstr>
      <vt:lpstr>Détails ASRA</vt:lpstr>
      <vt:lpstr>Saisie</vt:lpstr>
      <vt:lpstr>Coti ASRA prev</vt:lpstr>
      <vt:lpstr>Information!_ftn1</vt:lpstr>
      <vt:lpstr>Information!_ftnref1</vt:lpstr>
      <vt:lpstr>'Détails ASRA'!Impression_des_titres</vt:lpstr>
      <vt:lpstr>Information!Impression_des_titres</vt:lpstr>
      <vt:lpstr>'Résultats vs 2023'!Impression_des_titres</vt:lpstr>
      <vt:lpstr>Saisie!nbporcsassurables</vt:lpstr>
      <vt:lpstr>Saisie!nbtruiesassurables</vt:lpstr>
      <vt:lpstr>Information!OLE_LINK1</vt:lpstr>
      <vt:lpstr>Information!OLE_LINK6</vt:lpstr>
      <vt:lpstr>Saisie!poidscarcasse</vt:lpstr>
      <vt:lpstr>'Coti ASRA prev'!Zone_d_impression</vt:lpstr>
      <vt:lpstr>'Détails ASRA'!Zone_d_impression</vt:lpstr>
      <vt:lpstr>Information!Zone_d_impression</vt:lpstr>
      <vt:lpstr>'Réductions du prix des porcs'!Zone_d_impression</vt:lpstr>
      <vt:lpstr>'Résultats vs 2023'!Zone_d_impression</vt:lpstr>
    </vt:vector>
  </TitlesOfParts>
  <Company>Centre de développement du porc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yallard</dc:creator>
  <cp:lastModifiedBy>Caroline Lacroix</cp:lastModifiedBy>
  <cp:lastPrinted>2024-11-08T20:23:31Z</cp:lastPrinted>
  <dcterms:created xsi:type="dcterms:W3CDTF">2011-03-03T19:05:14Z</dcterms:created>
  <dcterms:modified xsi:type="dcterms:W3CDTF">2024-11-08T21:05:34Z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0x010100A10049BAA21E7E4F80BE4AD55833F8AB</vt:lpwstr>
  </property>
  <property fmtid="{D5CDD505-2E9C-101B-9397-08002B2CF9AE}" pid="3" name="MediaServiceImageTags">
    <vt:lpwstr/>
  </property>
</Properties>
</file>