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cdpqinc.sharepoint.com/sites/100_economie/Documents partages/1081_Mensuel_Porc/Tendances des prix et Prévisions ASRA/Archives/2024/"/>
    </mc:Choice>
  </mc:AlternateContent>
  <xr:revisionPtr revIDLastSave="354" documentId="14_{429D5F7C-8D03-44D9-99BA-A5E8248A853D}" xr6:coauthVersionLast="47" xr6:coauthVersionMax="47" xr10:uidLastSave="{54ACF6C1-A5E4-41C4-947E-391D18182FE1}"/>
  <bookViews>
    <workbookView xWindow="-28920" yWindow="-120" windowWidth="29040" windowHeight="15720" tabRatio="728" xr2:uid="{00000000-000D-0000-FFFF-FFFF00000000}"/>
  </bookViews>
  <sheets>
    <sheet name="Information" sheetId="15" r:id="rId1"/>
    <sheet name="Résultats vs 2023" sheetId="10" r:id="rId2"/>
    <sheet name="Réductions du prix des porcs" sheetId="12" r:id="rId3"/>
    <sheet name="Détails ASRA" sheetId="11" r:id="rId4"/>
    <sheet name="Saisie" sheetId="16" state="hidden" r:id="rId5"/>
    <sheet name="Coti ASRA prev" sheetId="3" state="hidden" r:id="rId6"/>
  </sheets>
  <definedNames>
    <definedName name="_ftn1" localSheetId="0">Information!$A$25</definedName>
    <definedName name="_ftnref1" localSheetId="0">Information!$A$11</definedName>
    <definedName name="_xlnm.Print_Titles" localSheetId="3">'Détails ASRA'!$1:$2</definedName>
    <definedName name="_xlnm.Print_Titles" localSheetId="0">Information!$1:$2</definedName>
    <definedName name="_xlnm.Print_Titles" localSheetId="1">'Résultats vs 2023'!$1:$1</definedName>
    <definedName name="nbporcsassurables" localSheetId="4">Saisie!$B$23</definedName>
    <definedName name="nbtruiesassurables" localSheetId="4">Saisie!$B$24</definedName>
    <definedName name="OLE_LINK1" localSheetId="0">Information!$J$4</definedName>
    <definedName name="OLE_LINK6" localSheetId="0">Information!$A$4</definedName>
    <definedName name="poidscarcasse" localSheetId="4">Saisie!$B$28</definedName>
    <definedName name="_xlnm.Print_Area" localSheetId="5">'Coti ASRA prev'!$B$2:$S$31</definedName>
    <definedName name="_xlnm.Print_Area" localSheetId="3">'Détails ASRA'!$C$1:$N$31</definedName>
    <definedName name="_xlnm.Print_Area" localSheetId="0">Information!$A$1:$I$157</definedName>
    <definedName name="_xlnm.Print_Area" localSheetId="2">'Réductions du prix des porcs'!$A$1:$L$53</definedName>
    <definedName name="_xlnm.Print_Area" localSheetId="1">'Résultats vs 2023'!$A$1:$Q$62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7" i="11" l="1"/>
  <c r="P30" i="16"/>
  <c r="P29" i="16"/>
  <c r="J7" i="16" l="1"/>
  <c r="J6" i="16"/>
  <c r="D5" i="16" l="1"/>
  <c r="F5" i="16" l="1"/>
  <c r="N17" i="16" l="1"/>
  <c r="N11" i="16"/>
  <c r="D49" i="12" l="1"/>
  <c r="D39" i="12" l="1"/>
  <c r="D38" i="12"/>
  <c r="C18" i="12"/>
  <c r="C5" i="12"/>
  <c r="A9" i="16"/>
  <c r="D51" i="12" l="1"/>
  <c r="C48" i="12"/>
  <c r="C50" i="12" s="1"/>
  <c r="C36" i="12"/>
  <c r="C41" i="12" s="1"/>
  <c r="D45" i="12"/>
  <c r="D47" i="12" l="1"/>
  <c r="C45" i="12" l="1"/>
  <c r="C44" i="12"/>
  <c r="C43" i="12"/>
  <c r="C42" i="12"/>
  <c r="D44" i="12"/>
  <c r="D43" i="12"/>
  <c r="D42" i="12"/>
  <c r="D37" i="12" l="1"/>
  <c r="E5" i="16" l="1"/>
  <c r="G5" i="16"/>
  <c r="H5" i="16"/>
  <c r="I5" i="16"/>
  <c r="C6" i="16"/>
  <c r="C7" i="16" l="1"/>
  <c r="C8" i="16" l="1"/>
  <c r="D40" i="12"/>
  <c r="K8" i="11" l="1"/>
  <c r="K7" i="11"/>
  <c r="J8" i="11"/>
  <c r="J7" i="11"/>
  <c r="H59" i="10" l="1"/>
  <c r="F59" i="10"/>
  <c r="F60" i="10" s="1"/>
  <c r="N59" i="10" l="1"/>
  <c r="L20" i="3" l="1"/>
  <c r="J20" i="3"/>
  <c r="I27" i="11"/>
  <c r="I21" i="11"/>
  <c r="H53" i="10"/>
  <c r="H52" i="10"/>
  <c r="I6" i="10"/>
  <c r="C6" i="10"/>
  <c r="F2" i="10" s="1"/>
  <c r="F6" i="10" l="1"/>
  <c r="D6" i="10"/>
  <c r="J28" i="11" l="1"/>
  <c r="E60" i="10" s="1"/>
  <c r="J26" i="11"/>
  <c r="K22" i="11"/>
  <c r="M59" i="10" s="1"/>
  <c r="J22" i="11"/>
  <c r="E59" i="10" s="1"/>
  <c r="K20" i="11"/>
  <c r="J20" i="11"/>
  <c r="K17" i="11"/>
  <c r="J17" i="11"/>
  <c r="K11" i="11"/>
  <c r="J11" i="11"/>
  <c r="K9" i="11"/>
  <c r="J9" i="11"/>
  <c r="K6" i="11"/>
  <c r="J6" i="11"/>
  <c r="G60" i="10" l="1"/>
  <c r="J21" i="11"/>
  <c r="G59" i="10"/>
  <c r="K21" i="11"/>
  <c r="O59" i="10"/>
  <c r="L14" i="11"/>
  <c r="A44" i="16" l="1"/>
  <c r="A43" i="16"/>
  <c r="A42" i="16"/>
  <c r="A41" i="16"/>
  <c r="A40" i="16"/>
  <c r="A39" i="16"/>
  <c r="A38" i="16"/>
  <c r="A37" i="16"/>
  <c r="A36" i="16"/>
  <c r="A35" i="16"/>
  <c r="A34" i="16"/>
  <c r="A33" i="16"/>
  <c r="A32" i="16"/>
  <c r="A31" i="16"/>
  <c r="N30" i="16"/>
  <c r="A30" i="16"/>
  <c r="A29" i="16"/>
  <c r="A28" i="16"/>
  <c r="A27" i="16"/>
  <c r="A26" i="16"/>
  <c r="A25" i="16"/>
  <c r="A24" i="16"/>
  <c r="A23" i="16"/>
  <c r="A22" i="16"/>
  <c r="B21" i="16"/>
  <c r="B22" i="16" s="1"/>
  <c r="B23" i="16" s="1"/>
  <c r="B24" i="16" s="1"/>
  <c r="B25" i="16" s="1"/>
  <c r="B26" i="16" s="1"/>
  <c r="B27" i="16" s="1"/>
  <c r="B28" i="16" s="1"/>
  <c r="B29" i="16" s="1"/>
  <c r="B30" i="16" s="1"/>
  <c r="B31" i="16" s="1"/>
  <c r="B32" i="16" s="1"/>
  <c r="A21" i="16"/>
  <c r="A20" i="16"/>
  <c r="A19" i="16"/>
  <c r="A18" i="16"/>
  <c r="A17" i="16"/>
  <c r="A16" i="16"/>
  <c r="A15" i="16"/>
  <c r="A14" i="16"/>
  <c r="A13" i="16"/>
  <c r="A12" i="16"/>
  <c r="A11" i="16"/>
  <c r="B10" i="16"/>
  <c r="B11" i="16" s="1"/>
  <c r="B12" i="16" s="1"/>
  <c r="B13" i="16" s="1"/>
  <c r="B14" i="16" s="1"/>
  <c r="B15" i="16" s="1"/>
  <c r="B16" i="16" s="1"/>
  <c r="B17" i="16" s="1"/>
  <c r="B18" i="16" s="1"/>
  <c r="B19" i="16" s="1"/>
  <c r="B20" i="16" s="1"/>
  <c r="A10" i="16"/>
  <c r="B5" i="16"/>
  <c r="T3" i="16"/>
  <c r="S3" i="16"/>
  <c r="R3" i="16"/>
  <c r="Q3" i="16"/>
  <c r="P3" i="16"/>
  <c r="O3" i="16"/>
  <c r="D6" i="16" l="1"/>
  <c r="H7" i="16"/>
  <c r="D7" i="16"/>
  <c r="E6" i="16"/>
  <c r="E7" i="16"/>
  <c r="H6" i="16"/>
  <c r="I6" i="16"/>
  <c r="F6" i="16"/>
  <c r="G6" i="16"/>
  <c r="F7" i="16"/>
  <c r="I7" i="16"/>
  <c r="G7" i="16"/>
  <c r="K26" i="11"/>
  <c r="K28" i="11"/>
  <c r="M60" i="10" s="1"/>
  <c r="B33" i="16"/>
  <c r="B34" i="16" s="1"/>
  <c r="B35" i="16" s="1"/>
  <c r="B36" i="16" s="1"/>
  <c r="B37" i="16" s="1"/>
  <c r="B38" i="16" s="1"/>
  <c r="B39" i="16" s="1"/>
  <c r="B40" i="16" s="1"/>
  <c r="B41" i="16" s="1"/>
  <c r="B42" i="16" s="1"/>
  <c r="B43" i="16" s="1"/>
  <c r="B44" i="16" s="1"/>
  <c r="T7" i="16" l="1"/>
  <c r="O6" i="16"/>
  <c r="S7" i="16"/>
  <c r="P6" i="16"/>
  <c r="R7" i="16"/>
  <c r="P7" i="16"/>
  <c r="O7" i="16"/>
  <c r="Q7" i="16"/>
  <c r="S6" i="16"/>
  <c r="R6" i="16"/>
  <c r="T6" i="16"/>
  <c r="Q6" i="16"/>
  <c r="K27" i="11"/>
  <c r="O60" i="10"/>
  <c r="J12" i="11"/>
  <c r="C40" i="12" l="1"/>
  <c r="C39" i="12"/>
  <c r="C38" i="12"/>
  <c r="C37" i="12"/>
  <c r="K12" i="11" l="1"/>
  <c r="C9" i="10"/>
  <c r="D9" i="10" s="1"/>
  <c r="L11" i="3"/>
  <c r="L12" i="3"/>
  <c r="L13" i="3"/>
  <c r="L14" i="3"/>
  <c r="L15" i="3"/>
  <c r="R15" i="3"/>
  <c r="T15" i="3"/>
  <c r="U15" i="3"/>
  <c r="V15" i="3"/>
  <c r="L16" i="3"/>
  <c r="R16" i="3"/>
  <c r="T16" i="3"/>
  <c r="U16" i="3"/>
  <c r="V16" i="3"/>
  <c r="I17" i="3"/>
  <c r="I18" i="3" s="1"/>
  <c r="I19" i="3" s="1"/>
  <c r="K17" i="3"/>
  <c r="R17" i="3"/>
  <c r="T17" i="3"/>
  <c r="U17" i="3"/>
  <c r="V17" i="3"/>
  <c r="K18" i="3"/>
  <c r="K26" i="3" s="1"/>
  <c r="O18" i="3"/>
  <c r="O19" i="3"/>
  <c r="N20" i="3"/>
  <c r="K20" i="3"/>
  <c r="R20" i="3"/>
  <c r="T20" i="3"/>
  <c r="R21" i="3"/>
  <c r="T21" i="3"/>
  <c r="J26" i="3"/>
  <c r="N22" i="3" s="1"/>
  <c r="N23" i="3" s="1"/>
  <c r="O22" i="3"/>
  <c r="O23" i="3"/>
  <c r="I24" i="3"/>
  <c r="I6" i="11"/>
  <c r="I7" i="11"/>
  <c r="I8" i="11"/>
  <c r="I9" i="11"/>
  <c r="I12" i="11"/>
  <c r="I17" i="11"/>
  <c r="N9" i="10" l="1"/>
  <c r="O9" i="10" s="1"/>
  <c r="L9" i="10"/>
  <c r="M9" i="10" s="1"/>
  <c r="F9" i="10"/>
  <c r="J9" i="10"/>
  <c r="K9" i="10" s="1"/>
  <c r="H9" i="10"/>
  <c r="E6" i="12" s="1"/>
  <c r="E9" i="10"/>
  <c r="I52" i="10"/>
  <c r="V18" i="3"/>
  <c r="U18" i="3"/>
  <c r="C10" i="10"/>
  <c r="I53" i="10"/>
  <c r="L53" i="10"/>
  <c r="M53" i="10" s="1"/>
  <c r="O20" i="3"/>
  <c r="V19" i="3"/>
  <c r="S19" i="3" s="1"/>
  <c r="T19" i="3" s="1"/>
  <c r="S18" i="3"/>
  <c r="T18" i="3" s="1"/>
  <c r="N10" i="10" l="1"/>
  <c r="O10" i="10" s="1"/>
  <c r="H10" i="10"/>
  <c r="L10" i="10"/>
  <c r="M10" i="10" s="1"/>
  <c r="F10" i="10"/>
  <c r="G10" i="10" s="1"/>
  <c r="D10" i="10"/>
  <c r="E10" i="10" s="1"/>
  <c r="J10" i="10"/>
  <c r="K10" i="10" s="1"/>
  <c r="L54" i="10"/>
  <c r="M54" i="10" s="1"/>
  <c r="G9" i="10"/>
  <c r="H60" i="10"/>
  <c r="P59" i="10"/>
  <c r="P60" i="10" s="1"/>
  <c r="N60" i="10"/>
  <c r="Q18" i="3"/>
  <c r="R18" i="3" s="1"/>
  <c r="U19" i="3"/>
  <c r="Q19" i="3" s="1"/>
  <c r="R19" i="3" s="1"/>
  <c r="C11" i="10"/>
  <c r="N11" i="10" l="1"/>
  <c r="F11" i="10"/>
  <c r="G11" i="10" s="1"/>
  <c r="L11" i="10"/>
  <c r="M11" i="10" s="1"/>
  <c r="H11" i="10"/>
  <c r="J11" i="10"/>
  <c r="D11" i="10"/>
  <c r="E11" i="10" s="1"/>
  <c r="E7" i="12"/>
  <c r="C12" i="10"/>
  <c r="C36" i="10"/>
  <c r="N12" i="10" l="1"/>
  <c r="O12" i="10" s="1"/>
  <c r="D12" i="10"/>
  <c r="E12" i="10" s="1"/>
  <c r="L12" i="10"/>
  <c r="M12" i="10" s="1"/>
  <c r="J12" i="10"/>
  <c r="K12" i="10" s="1"/>
  <c r="H12" i="10"/>
  <c r="F12" i="10"/>
  <c r="G12" i="10" s="1"/>
  <c r="L36" i="10"/>
  <c r="M36" i="10" s="1"/>
  <c r="C13" i="10"/>
  <c r="E8" i="12"/>
  <c r="N36" i="10"/>
  <c r="O36" i="10" s="1"/>
  <c r="O11" i="10"/>
  <c r="J36" i="10"/>
  <c r="K36" i="10" s="1"/>
  <c r="K11" i="10"/>
  <c r="F36" i="10"/>
  <c r="G36" i="10" s="1"/>
  <c r="H36" i="10"/>
  <c r="E37" i="12" s="1"/>
  <c r="D36" i="10"/>
  <c r="E36" i="10" s="1"/>
  <c r="L13" i="10" l="1"/>
  <c r="M13" i="10" s="1"/>
  <c r="F13" i="10"/>
  <c r="G13" i="10" s="1"/>
  <c r="N13" i="10"/>
  <c r="O13" i="10" s="1"/>
  <c r="J13" i="10"/>
  <c r="K13" i="10" s="1"/>
  <c r="D13" i="10"/>
  <c r="E13" i="10" s="1"/>
  <c r="H13" i="10"/>
  <c r="C14" i="10"/>
  <c r="C15" i="10" s="1"/>
  <c r="E9" i="12"/>
  <c r="E10" i="12" l="1"/>
  <c r="C37" i="10"/>
  <c r="F15" i="10"/>
  <c r="D15" i="10"/>
  <c r="N15" i="10"/>
  <c r="L15" i="10"/>
  <c r="J15" i="10"/>
  <c r="H15" i="10"/>
  <c r="F14" i="10"/>
  <c r="G14" i="10" s="1"/>
  <c r="J14" i="10"/>
  <c r="K14" i="10" s="1"/>
  <c r="D14" i="10"/>
  <c r="D37" i="10" s="1"/>
  <c r="E37" i="10" s="1"/>
  <c r="L14" i="10"/>
  <c r="L37" i="10" s="1"/>
  <c r="M37" i="10" s="1"/>
  <c r="H14" i="10"/>
  <c r="E11" i="12" s="1"/>
  <c r="N14" i="10"/>
  <c r="O14" i="10" s="1"/>
  <c r="C16" i="10"/>
  <c r="J37" i="10" l="1"/>
  <c r="K37" i="10" s="1"/>
  <c r="F37" i="10"/>
  <c r="G37" i="10" s="1"/>
  <c r="H37" i="10"/>
  <c r="E38" i="12" s="1"/>
  <c r="N37" i="10"/>
  <c r="O37" i="10" s="1"/>
  <c r="M14" i="10"/>
  <c r="F16" i="10"/>
  <c r="G16" i="10" s="1"/>
  <c r="L16" i="10"/>
  <c r="M16" i="10" s="1"/>
  <c r="H16" i="10"/>
  <c r="E13" i="12" s="1"/>
  <c r="D16" i="10"/>
  <c r="E16" i="10" s="1"/>
  <c r="J16" i="10"/>
  <c r="K16" i="10" s="1"/>
  <c r="N16" i="10"/>
  <c r="O16" i="10" s="1"/>
  <c r="E14" i="10"/>
  <c r="O15" i="10"/>
  <c r="K15" i="10"/>
  <c r="C17" i="10"/>
  <c r="E15" i="10"/>
  <c r="E12" i="12"/>
  <c r="G15" i="10"/>
  <c r="M15" i="10"/>
  <c r="F17" i="10" l="1"/>
  <c r="J17" i="10"/>
  <c r="D17" i="10"/>
  <c r="L17" i="10"/>
  <c r="N17" i="10"/>
  <c r="H17" i="10"/>
  <c r="E14" i="12" s="1"/>
  <c r="C18" i="10"/>
  <c r="C38" i="10"/>
  <c r="F18" i="10" l="1"/>
  <c r="D18" i="10"/>
  <c r="H18" i="10"/>
  <c r="N18" i="10"/>
  <c r="L18" i="10"/>
  <c r="J18" i="10"/>
  <c r="M17" i="10"/>
  <c r="L38" i="10"/>
  <c r="M38" i="10" s="1"/>
  <c r="K17" i="10"/>
  <c r="J38" i="10"/>
  <c r="K38" i="10" s="1"/>
  <c r="E17" i="10"/>
  <c r="D38" i="10"/>
  <c r="E38" i="10" s="1"/>
  <c r="C19" i="10"/>
  <c r="G17" i="10"/>
  <c r="F38" i="10"/>
  <c r="G38" i="10" s="1"/>
  <c r="O17" i="10"/>
  <c r="N38" i="10"/>
  <c r="O38" i="10" s="1"/>
  <c r="H38" i="10"/>
  <c r="E39" i="12" s="1"/>
  <c r="F19" i="10" l="1"/>
  <c r="G19" i="10" s="1"/>
  <c r="L19" i="10"/>
  <c r="M19" i="10" s="1"/>
  <c r="H19" i="10"/>
  <c r="I19" i="10" s="1"/>
  <c r="E16" i="12" s="1"/>
  <c r="D19" i="10"/>
  <c r="E19" i="10" s="1"/>
  <c r="J19" i="10"/>
  <c r="K19" i="10" s="1"/>
  <c r="N19" i="10"/>
  <c r="O19" i="10" s="1"/>
  <c r="C20" i="10"/>
  <c r="E18" i="10"/>
  <c r="K18" i="10"/>
  <c r="M18" i="10"/>
  <c r="E15" i="12"/>
  <c r="O18" i="10"/>
  <c r="G18" i="10"/>
  <c r="F20" i="10" l="1"/>
  <c r="G20" i="10" s="1"/>
  <c r="D20" i="10"/>
  <c r="H20" i="10"/>
  <c r="N20" i="10"/>
  <c r="L20" i="10"/>
  <c r="M20" i="10" s="1"/>
  <c r="J20" i="10"/>
  <c r="C39" i="10"/>
  <c r="C47" i="10"/>
  <c r="H47" i="10" s="1"/>
  <c r="C22" i="10"/>
  <c r="C58" i="10" l="1"/>
  <c r="F22" i="10"/>
  <c r="J22" i="10"/>
  <c r="D22" i="10"/>
  <c r="L22" i="10"/>
  <c r="N22" i="10"/>
  <c r="H22" i="10"/>
  <c r="F47" i="10"/>
  <c r="P4" i="16" s="1"/>
  <c r="D47" i="10"/>
  <c r="O4" i="16" s="1"/>
  <c r="L47" i="10"/>
  <c r="S4" i="16" s="1"/>
  <c r="J47" i="10"/>
  <c r="R4" i="16" s="1"/>
  <c r="N47" i="10"/>
  <c r="T4" i="16" s="1"/>
  <c r="N4" i="16"/>
  <c r="F39" i="10"/>
  <c r="G39" i="10" s="1"/>
  <c r="K20" i="10"/>
  <c r="J39" i="10"/>
  <c r="K39" i="10" s="1"/>
  <c r="E20" i="10"/>
  <c r="D39" i="10"/>
  <c r="E39" i="10" s="1"/>
  <c r="O20" i="10"/>
  <c r="N39" i="10"/>
  <c r="O39" i="10" s="1"/>
  <c r="L39" i="10"/>
  <c r="M39" i="10" s="1"/>
  <c r="J5" i="11"/>
  <c r="C23" i="10"/>
  <c r="I20" i="10"/>
  <c r="E17" i="12" s="1"/>
  <c r="H39" i="10"/>
  <c r="I39" i="10" s="1"/>
  <c r="E40" i="12" s="1"/>
  <c r="J14" i="11" l="1"/>
  <c r="F23" i="10"/>
  <c r="G23" i="10" s="1"/>
  <c r="H23" i="10"/>
  <c r="I23" i="10" s="1"/>
  <c r="E20" i="12" s="1"/>
  <c r="D23" i="10"/>
  <c r="E23" i="10" s="1"/>
  <c r="N23" i="10"/>
  <c r="O23" i="10" s="1"/>
  <c r="L23" i="10"/>
  <c r="M23" i="10" s="1"/>
  <c r="J23" i="10"/>
  <c r="K23" i="10" s="1"/>
  <c r="Q4" i="16"/>
  <c r="J16" i="11"/>
  <c r="J24" i="11" s="1"/>
  <c r="K5" i="11"/>
  <c r="E47" i="10"/>
  <c r="I22" i="10"/>
  <c r="E19" i="12" s="1"/>
  <c r="O47" i="10"/>
  <c r="G22" i="10"/>
  <c r="I47" i="10"/>
  <c r="E49" i="12" s="1"/>
  <c r="O22" i="10"/>
  <c r="G47" i="10"/>
  <c r="C24" i="10"/>
  <c r="M22" i="10"/>
  <c r="E22" i="10"/>
  <c r="K22" i="10"/>
  <c r="K47" i="10"/>
  <c r="M47" i="10"/>
  <c r="K16" i="11" l="1"/>
  <c r="K24" i="11" s="1"/>
  <c r="F24" i="10"/>
  <c r="G24" i="10" s="1"/>
  <c r="L24" i="10"/>
  <c r="M24" i="10" s="1"/>
  <c r="D24" i="10"/>
  <c r="J24" i="10"/>
  <c r="H24" i="10"/>
  <c r="I24" i="10" s="1"/>
  <c r="E21" i="12" s="1"/>
  <c r="N24" i="10"/>
  <c r="O24" i="10" s="1"/>
  <c r="C41" i="10"/>
  <c r="C25" i="10"/>
  <c r="F25" i="10" l="1"/>
  <c r="J25" i="10"/>
  <c r="H25" i="10"/>
  <c r="I25" i="10" s="1"/>
  <c r="E22" i="12" s="1"/>
  <c r="D25" i="10"/>
  <c r="L25" i="10"/>
  <c r="N25" i="10"/>
  <c r="N41" i="10"/>
  <c r="O41" i="10" s="1"/>
  <c r="L41" i="10"/>
  <c r="M41" i="10" s="1"/>
  <c r="H41" i="10"/>
  <c r="I41" i="10" s="1"/>
  <c r="E42" i="12" s="1"/>
  <c r="E24" i="10"/>
  <c r="D41" i="10"/>
  <c r="E41" i="10" s="1"/>
  <c r="C26" i="10"/>
  <c r="F41" i="10"/>
  <c r="G41" i="10" s="1"/>
  <c r="K24" i="10"/>
  <c r="J41" i="10"/>
  <c r="K41" i="10" s="1"/>
  <c r="F26" i="10" l="1"/>
  <c r="G26" i="10" s="1"/>
  <c r="H26" i="10"/>
  <c r="I26" i="10" s="1"/>
  <c r="E23" i="12" s="1"/>
  <c r="D26" i="10"/>
  <c r="E26" i="10" s="1"/>
  <c r="N26" i="10"/>
  <c r="O26" i="10" s="1"/>
  <c r="L26" i="10"/>
  <c r="M26" i="10" s="1"/>
  <c r="J26" i="10"/>
  <c r="K26" i="10" s="1"/>
  <c r="E25" i="10"/>
  <c r="O25" i="10"/>
  <c r="K25" i="10"/>
  <c r="G25" i="10"/>
  <c r="M25" i="10"/>
  <c r="C27" i="10"/>
  <c r="F27" i="10" l="1"/>
  <c r="G27" i="10" s="1"/>
  <c r="J27" i="10"/>
  <c r="K27" i="10" s="1"/>
  <c r="D27" i="10"/>
  <c r="E27" i="10" s="1"/>
  <c r="L27" i="10"/>
  <c r="M27" i="10" s="1"/>
  <c r="H27" i="10"/>
  <c r="N27" i="10"/>
  <c r="C28" i="10"/>
  <c r="C42" i="10"/>
  <c r="F28" i="10" l="1"/>
  <c r="H28" i="10"/>
  <c r="D28" i="10"/>
  <c r="N28" i="10"/>
  <c r="L28" i="10"/>
  <c r="J28" i="10"/>
  <c r="J42" i="10"/>
  <c r="K42" i="10" s="1"/>
  <c r="L42" i="10"/>
  <c r="M42" i="10" s="1"/>
  <c r="F42" i="10"/>
  <c r="G42" i="10" s="1"/>
  <c r="D42" i="10"/>
  <c r="E42" i="10" s="1"/>
  <c r="O27" i="10"/>
  <c r="N42" i="10"/>
  <c r="O42" i="10" s="1"/>
  <c r="I27" i="10"/>
  <c r="E24" i="12" s="1"/>
  <c r="H42" i="10"/>
  <c r="I42" i="10" s="1"/>
  <c r="E43" i="12" s="1"/>
  <c r="C29" i="10"/>
  <c r="F29" i="10" l="1"/>
  <c r="G29" i="10" s="1"/>
  <c r="J29" i="10"/>
  <c r="K29" i="10" s="1"/>
  <c r="H29" i="10"/>
  <c r="I29" i="10" s="1"/>
  <c r="E26" i="12" s="1"/>
  <c r="D29" i="10"/>
  <c r="E29" i="10" s="1"/>
  <c r="L29" i="10"/>
  <c r="M29" i="10" s="1"/>
  <c r="N29" i="10"/>
  <c r="O29" i="10" s="1"/>
  <c r="G28" i="10"/>
  <c r="O28" i="10"/>
  <c r="I28" i="10"/>
  <c r="E25" i="12" s="1"/>
  <c r="K28" i="10"/>
  <c r="C30" i="10"/>
  <c r="M28" i="10"/>
  <c r="E28" i="10"/>
  <c r="F30" i="10" l="1"/>
  <c r="G30" i="10" s="1"/>
  <c r="J30" i="10"/>
  <c r="H30" i="10"/>
  <c r="D30" i="10"/>
  <c r="E30" i="10" s="1"/>
  <c r="N30" i="10"/>
  <c r="L30" i="10"/>
  <c r="M30" i="10" s="1"/>
  <c r="C43" i="10"/>
  <c r="C31" i="10"/>
  <c r="F31" i="10" l="1"/>
  <c r="J31" i="10"/>
  <c r="H31" i="10"/>
  <c r="I31" i="10" s="1"/>
  <c r="E28" i="12" s="1"/>
  <c r="D31" i="10"/>
  <c r="L31" i="10"/>
  <c r="N31" i="10"/>
  <c r="I30" i="10"/>
  <c r="E27" i="12" s="1"/>
  <c r="F43" i="10"/>
  <c r="G43" i="10" s="1"/>
  <c r="H43" i="10"/>
  <c r="I43" i="10" s="1"/>
  <c r="E44" i="12" s="1"/>
  <c r="C32" i="10"/>
  <c r="K30" i="10"/>
  <c r="J43" i="10"/>
  <c r="K43" i="10" s="1"/>
  <c r="O30" i="10"/>
  <c r="N43" i="10"/>
  <c r="O43" i="10" s="1"/>
  <c r="L43" i="10"/>
  <c r="M43" i="10" s="1"/>
  <c r="D43" i="10"/>
  <c r="E43" i="10" s="1"/>
  <c r="F32" i="10" l="1"/>
  <c r="G32" i="10" s="1"/>
  <c r="J32" i="10"/>
  <c r="K32" i="10" s="1"/>
  <c r="H32" i="10"/>
  <c r="I32" i="10" s="1"/>
  <c r="E29" i="12" s="1"/>
  <c r="D32" i="10"/>
  <c r="E32" i="10" s="1"/>
  <c r="N32" i="10"/>
  <c r="O32" i="10" s="1"/>
  <c r="L32" i="10"/>
  <c r="M32" i="10" s="1"/>
  <c r="C33" i="10"/>
  <c r="M31" i="10"/>
  <c r="G31" i="10"/>
  <c r="E31" i="10"/>
  <c r="O31" i="10"/>
  <c r="K31" i="10"/>
  <c r="F33" i="10" l="1"/>
  <c r="G33" i="10" s="1"/>
  <c r="L33" i="10"/>
  <c r="J33" i="10"/>
  <c r="H33" i="10"/>
  <c r="D33" i="10"/>
  <c r="N33" i="10"/>
  <c r="O33" i="10" s="1"/>
  <c r="C48" i="10"/>
  <c r="K58" i="10" s="1"/>
  <c r="C44" i="10"/>
  <c r="F48" i="10" l="1"/>
  <c r="P5" i="16" s="1"/>
  <c r="J48" i="10"/>
  <c r="R5" i="16" s="1"/>
  <c r="H48" i="10"/>
  <c r="D48" i="10"/>
  <c r="O5" i="16" s="1"/>
  <c r="N48" i="10"/>
  <c r="T5" i="16" s="1"/>
  <c r="L48" i="10"/>
  <c r="S5" i="16" s="1"/>
  <c r="N5" i="16"/>
  <c r="K33" i="10"/>
  <c r="J44" i="10"/>
  <c r="K44" i="10" s="1"/>
  <c r="M33" i="10"/>
  <c r="L44" i="10"/>
  <c r="M44" i="10" s="1"/>
  <c r="F44" i="10"/>
  <c r="G44" i="10" s="1"/>
  <c r="E33" i="10"/>
  <c r="D44" i="10"/>
  <c r="E44" i="10" s="1"/>
  <c r="I33" i="10"/>
  <c r="E30" i="12" s="1"/>
  <c r="H44" i="10"/>
  <c r="I44" i="10" s="1"/>
  <c r="E45" i="12" s="1"/>
  <c r="N44" i="10"/>
  <c r="O44" i="10" s="1"/>
  <c r="Q5" i="16" l="1"/>
  <c r="K14" i="11"/>
  <c r="M48" i="10"/>
  <c r="G48" i="10"/>
  <c r="O48" i="10"/>
  <c r="I48" i="10"/>
  <c r="E51" i="12" s="1"/>
  <c r="K48" i="10"/>
  <c r="E4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yallard</author>
    <author>CLac</author>
  </authors>
  <commentList>
    <comment ref="N3" authorId="0" shapeId="0" xr:uid="{04807C21-3AF3-4B32-B8B2-698F39BBD0E8}">
      <text>
        <r>
          <rPr>
            <b/>
            <sz val="8"/>
            <color indexed="81"/>
            <rFont val="Tahoma"/>
            <family val="2"/>
          </rPr>
          <t>À transférer dans mensuel Porc onglet Tendance Conv avant d'importer les données</t>
        </r>
      </text>
    </comment>
    <comment ref="N11" authorId="0" shapeId="0" xr:uid="{6E86E710-193B-480A-8D85-0D4F62BBE804}">
      <text>
        <r>
          <rPr>
            <b/>
            <sz val="8"/>
            <color indexed="81"/>
            <rFont val="Tahoma"/>
            <family val="2"/>
          </rPr>
          <t xml:space="preserve">À importer du fichier men$uelPorc, onglet Tendance approprié </t>
        </r>
      </text>
    </comment>
    <comment ref="F18" authorId="1" shapeId="0" xr:uid="{03D30002-B595-4824-BC7E-E4CA8AD754EA}">
      <text>
        <r>
          <rPr>
            <b/>
            <sz val="9"/>
            <color indexed="81"/>
            <rFont val="Tahoma"/>
            <family val="2"/>
          </rPr>
          <t xml:space="preserve">CLac: </t>
        </r>
        <r>
          <rPr>
            <sz val="9"/>
            <color indexed="81"/>
            <rFont val="Tahoma"/>
            <family val="2"/>
          </rPr>
          <t xml:space="preserve"> pondéré par les ventes </t>
        </r>
      </text>
    </comment>
  </commentList>
</comments>
</file>

<file path=xl/sharedStrings.xml><?xml version="1.0" encoding="utf-8"?>
<sst xmlns="http://schemas.openxmlformats.org/spreadsheetml/2006/main" count="212" uniqueCount="130">
  <si>
    <t>Tendance des prix</t>
  </si>
  <si>
    <t>Maïs-grain</t>
  </si>
  <si>
    <t>Tourteau de soja</t>
  </si>
  <si>
    <t>Porc</t>
  </si>
  <si>
    <t>Indice</t>
  </si>
  <si>
    <t>Votre prix</t>
  </si>
  <si>
    <t>Prévision</t>
  </si>
  <si>
    <t>Indexation totale pondérée aliment modèle naisseur-finisseur =</t>
  </si>
  <si>
    <t>$ / kg</t>
  </si>
  <si>
    <t>$/100 kg</t>
  </si>
  <si>
    <t>Moulée «truies»</t>
  </si>
  <si>
    <t>Moulée «porcelets»</t>
  </si>
  <si>
    <t>Moulée «porcs»</t>
  </si>
  <si>
    <t>Outil de prévisions des cotisations ASRA</t>
  </si>
  <si>
    <t>La cotisation ASRA est calculé en tenant compte des compensations des 4 dernières années et de l'année en cours pour le régime.</t>
  </si>
  <si>
    <t>La pondération varie d'une année à l'autre allant de 30 % pour l'année en cours, jusqu'à 10 % il y a 4 ans.</t>
  </si>
  <si>
    <t xml:space="preserve">La cotisation est aussi affectée par le déficit du fonds ASRA et la FADQ peut faire des ajustements minimes annuels afin de tenir compte </t>
  </si>
  <si>
    <t>du contexte et du profit éventuellement à venir dans le FONDS (année en cours)</t>
  </si>
  <si>
    <t>Pondération de la cotisation selon les années:</t>
  </si>
  <si>
    <t>n</t>
  </si>
  <si>
    <t>n-1</t>
  </si>
  <si>
    <t>%</t>
  </si>
  <si>
    <t>n-2</t>
  </si>
  <si>
    <t>n-3</t>
  </si>
  <si>
    <t>n-4</t>
  </si>
  <si>
    <t>Truies</t>
  </si>
  <si>
    <t>Porcs</t>
  </si>
  <si>
    <t>Prév. CDPQ</t>
  </si>
  <si>
    <t>La cotisation représente 1/3 des compensations reçues en moyenne pondérée 5 ans</t>
  </si>
  <si>
    <t>Montant pour éliminer le déficit</t>
  </si>
  <si>
    <t>Ajustement final FADQ</t>
  </si>
  <si>
    <t>variable</t>
  </si>
  <si>
    <t>non-prévisible</t>
  </si>
  <si>
    <t>Cotisations prévisionnelles</t>
  </si>
  <si>
    <t>/100 kg</t>
  </si>
  <si>
    <t>Compensations</t>
  </si>
  <si>
    <t>Année</t>
  </si>
  <si>
    <t>Taux de change utilisés pour les mois estimés</t>
  </si>
  <si>
    <t>$CA pour 1$US</t>
  </si>
  <si>
    <t>initial</t>
  </si>
  <si>
    <t>source FPPQ</t>
  </si>
  <si>
    <t>estimé avec régression</t>
  </si>
  <si>
    <t>Moulées</t>
  </si>
  <si>
    <t>Taux de change</t>
  </si>
  <si>
    <t>Trimestre</t>
  </si>
  <si>
    <t>Période</t>
  </si>
  <si>
    <t>Maïs</t>
  </si>
  <si>
    <t>T soja</t>
  </si>
  <si>
    <t>Pclts</t>
  </si>
  <si>
    <t>Utilisés</t>
  </si>
  <si>
    <t>Moyenne</t>
  </si>
  <si>
    <t>Indice Carburants et propane</t>
  </si>
  <si>
    <t>Compensation ASRA Total Nais-Fin $/100 kg</t>
  </si>
  <si>
    <t>Compensation ASRA  / truie** $</t>
  </si>
  <si>
    <t>Compensation ASRA /100 kg porc** $</t>
  </si>
  <si>
    <t>Indice autres que Carburants, aliments et prix du porcs</t>
  </si>
  <si>
    <t>Final FADQ</t>
  </si>
  <si>
    <t>+ 684 truies</t>
  </si>
  <si>
    <t>+ 1 152 119 kg</t>
  </si>
  <si>
    <t>Cotisation par unité excédentaire</t>
  </si>
  <si>
    <t>Facteur</t>
  </si>
  <si>
    <t xml:space="preserve">Poids de carcasse </t>
  </si>
  <si>
    <t>FADQ estime 2013</t>
  </si>
  <si>
    <t>source AAC (moyenne Moyenne)</t>
  </si>
  <si>
    <t>Réel</t>
  </si>
  <si>
    <t>Prix stabilisé * $/100 kg</t>
  </si>
  <si>
    <t>Revenu stabilisé</t>
  </si>
  <si>
    <t>Agriinvestissement année antérieure /porc</t>
  </si>
  <si>
    <t>AgriInvestissement année courante /porc</t>
  </si>
  <si>
    <t>Revenu stabilisé $/100kg</t>
  </si>
  <si>
    <t>Revenu du marché $/100 kg</t>
  </si>
  <si>
    <t>Prix du porc (indice 100)</t>
  </si>
  <si>
    <t>Total naisseur-finisseur</t>
  </si>
  <si>
    <t>*******************************************************************************************</t>
  </si>
  <si>
    <t>$ / truie</t>
  </si>
  <si>
    <t>$ /100 kg</t>
  </si>
  <si>
    <t>Maternité</t>
  </si>
  <si>
    <t>Annuel</t>
  </si>
  <si>
    <t>Trimestriel</t>
  </si>
  <si>
    <t>Mensuel</t>
  </si>
  <si>
    <t>référence</t>
  </si>
  <si>
    <r>
      <t>COTISATION</t>
    </r>
    <r>
      <rPr>
        <u/>
        <sz val="10"/>
        <rFont val="Arial"/>
        <family val="2"/>
      </rPr>
      <t xml:space="preserve"> (estimée)</t>
    </r>
  </si>
  <si>
    <r>
      <t xml:space="preserve">COMPENSATION </t>
    </r>
    <r>
      <rPr>
        <u/>
        <sz val="10"/>
        <rFont val="Arial"/>
        <family val="2"/>
      </rPr>
      <t>(prévue)</t>
    </r>
  </si>
  <si>
    <t>Compensation</t>
  </si>
  <si>
    <t>Cotisation</t>
  </si>
  <si>
    <t>Engraissement</t>
  </si>
  <si>
    <t xml:space="preserve">    -     $</t>
  </si>
  <si>
    <r>
      <t xml:space="preserve">Note: écart positif = compensation, écart </t>
    </r>
    <r>
      <rPr>
        <i/>
        <sz val="8"/>
        <color indexed="10"/>
        <rFont val="Arial"/>
        <family val="2"/>
      </rPr>
      <t>négatif</t>
    </r>
    <r>
      <rPr>
        <i/>
        <sz val="8"/>
        <rFont val="Arial"/>
        <family val="2"/>
      </rPr>
      <t xml:space="preserve"> = </t>
    </r>
    <r>
      <rPr>
        <i/>
        <sz val="8"/>
        <color indexed="10"/>
        <rFont val="Arial"/>
        <family val="2"/>
      </rPr>
      <t>pas</t>
    </r>
    <r>
      <rPr>
        <i/>
        <sz val="8"/>
        <rFont val="Arial"/>
        <family val="2"/>
      </rPr>
      <t xml:space="preserve"> de compensation</t>
    </r>
  </si>
  <si>
    <t>A)</t>
  </si>
  <si>
    <t>B)</t>
  </si>
  <si>
    <t>Revenu stabilisé ajusté</t>
  </si>
  <si>
    <t>Revenu du marché</t>
  </si>
  <si>
    <t>Agri-investissement (années antérieures)</t>
  </si>
  <si>
    <t>Agri-investissement (année courante)</t>
  </si>
  <si>
    <t>Écart entre le revenu du marché et le revenu stabilisé ajusté (A - B)</t>
  </si>
  <si>
    <t>janvier</t>
  </si>
  <si>
    <t>février</t>
  </si>
  <si>
    <t>mars</t>
  </si>
  <si>
    <t>avril</t>
  </si>
  <si>
    <t>mai</t>
  </si>
  <si>
    <t>juin</t>
  </si>
  <si>
    <t>juillet</t>
  </si>
  <si>
    <t>août</t>
  </si>
  <si>
    <t>septembre</t>
  </si>
  <si>
    <t>octobre</t>
  </si>
  <si>
    <t>novembre</t>
  </si>
  <si>
    <t>décembre</t>
  </si>
  <si>
    <t xml:space="preserve">Note : la prévision du mois courant n’inclut pas les prix réels, </t>
  </si>
  <si>
    <t xml:space="preserve">          même si une partie du mois est déjà écoulée.</t>
  </si>
  <si>
    <t>&lt;= ne pas effacer</t>
  </si>
  <si>
    <t>*Prix de pool réel pondéré du mois</t>
  </si>
  <si>
    <t>*Prix de pool réel pondéré du trimestre</t>
  </si>
  <si>
    <t>La prévision du mois courant n’inclut pas les prix réels, même si une partie du mois est déjà écoulée.</t>
  </si>
  <si>
    <t xml:space="preserve">          * Voir l'onglet "Réductions du prix des porcs" pour plus de détails. </t>
  </si>
  <si>
    <t>Avec réductions</t>
  </si>
  <si>
    <t>$/truie, atelier PCL</t>
  </si>
  <si>
    <t>avec réductions de prix des porcs*</t>
  </si>
  <si>
    <t>Rajustement moyen</t>
  </si>
  <si>
    <r>
      <t>Prévision</t>
    </r>
    <r>
      <rPr>
        <vertAlign val="superscript"/>
        <sz val="9"/>
        <rFont val="Arial"/>
        <family val="2"/>
      </rPr>
      <t>1</t>
    </r>
    <r>
      <rPr>
        <sz val="9"/>
        <rFont val="Arial"/>
        <family val="2"/>
      </rPr>
      <t xml:space="preserve"> 
</t>
    </r>
    <r>
      <rPr>
        <sz val="8.5"/>
        <rFont val="Arial"/>
        <family val="2"/>
      </rPr>
      <t>(avec réductions)</t>
    </r>
  </si>
  <si>
    <t>Indices avec réduction prix du porc</t>
  </si>
  <si>
    <t>6 MOIS 2024</t>
  </si>
  <si>
    <t xml:space="preserve">Réductions du prix des porcs au Québec en vigueur en 2024 et 2025, hypothèse d'application </t>
  </si>
  <si>
    <t xml:space="preserve">Note 1 : Cette colonne estime votre prix rajusté selon les paramètres de la Convention de mise en marché des porcs 2023-2026, à quoi s'ajoute une estimation de réductions appliquées au prix des porcs pour les mois futurs. Consulter l'onglet "Réductions du prix des porcs" pour plus d'informations. </t>
  </si>
  <si>
    <t>*Ces prix des porcs des périodes écoulées sont les prix de pool réels et pondérés par le nombres porcs pour la période concernée des porcs Qualité Québec. Ces prix comprennent les réductions qui prévalaient en 2024, le cas échéant.</t>
  </si>
  <si>
    <t xml:space="preserve"> Compensations ASRA découlant du modèle prévisionnel proposé, avec estimation des réductions du prix des porcs</t>
  </si>
  <si>
    <t>Les résultats de ce tableau proviennent des calculs faits à partir de l'information tirée du modèle 2022 de la FADQ, indexé.</t>
  </si>
  <si>
    <t>$/kg, atelier POR</t>
  </si>
  <si>
    <r>
      <t>ASRA en amputant le prix du porc de 2024 et 2025 des réductions</t>
    </r>
    <r>
      <rPr>
        <sz val="10"/>
        <rFont val="Arial"/>
        <family val="2"/>
      </rPr>
      <t xml:space="preserve"> (veuillez consulter l'onget "Réductions du prix des porcs" pour plus d'informations).</t>
    </r>
  </si>
  <si>
    <r>
      <t xml:space="preserve">Votre prix sans réduction
</t>
    </r>
    <r>
      <rPr>
        <sz val="11"/>
        <rFont val="Arial"/>
        <family val="2"/>
      </rPr>
      <t>(indice 100)</t>
    </r>
  </si>
  <si>
    <t>Contribution totale ASRA, Connue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</si>
</sst>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0">
    <numFmt numFmtId="7" formatCode="#,##0.00\ &quot;$&quot;_);\(#,##0.00\ &quot;$&quot;\)"/>
    <numFmt numFmtId="8" formatCode="#,##0.00\ &quot;$&quot;_);[Red]\(#,##0.00\ &quot;$&quot;\)"/>
    <numFmt numFmtId="44" formatCode="_ * #,##0.00_)\ &quot;$&quot;_ ;_ * \(#,##0.00\)\ &quot;$&quot;_ ;_ * &quot;-&quot;??_)\ &quot;$&quot;_ ;_ @_ "/>
    <numFmt numFmtId="164" formatCode="_ * #,##0_)\ [$$-C0C]_ ;_ * \(#,##0\)\ [$$-C0C]_ ;_ * &quot;-&quot;??_)\ [$$-C0C]_ ;_ @_ "/>
    <numFmt numFmtId="165" formatCode="_ * #,##0.00_)\ [$$-C0C]_ ;_ * \(#,##0.00\)\ [$$-C0C]_ ;_ * &quot;-&quot;??_)\ [$$-C0C]_ ;_ @_ "/>
    <numFmt numFmtId="166" formatCode="0.0%"/>
    <numFmt numFmtId="167" formatCode="_ * #,##0.000_)\ [$$-C0C]_ ;_ * \(#,##0.000\)\ [$$-C0C]_ ;_ * &quot;-&quot;??_)\ [$$-C0C]_ ;_ @_ "/>
    <numFmt numFmtId="168" formatCode="0.000"/>
    <numFmt numFmtId="169" formatCode="#,##0\ [$$-C0C]&quot;/t&quot;"/>
    <numFmt numFmtId="170" formatCode="&quot;Base &quot;0"/>
    <numFmt numFmtId="171" formatCode="#,##0.00\ &quot;$&quot;"/>
    <numFmt numFmtId="172" formatCode="&quot;Année &quot;0"/>
    <numFmt numFmtId="173" formatCode="_-* #,##0.00&quot; $&quot;_-;\-* #,##0.00&quot; $&quot;_-;_-* &quot;-&quot;??&quot; $&quot;_-;_-@_-"/>
    <numFmt numFmtId="174" formatCode="0.0&quot; &quot;%"/>
    <numFmt numFmtId="175" formatCode="#,##0.00_)&quot;$/prc&quot;;\(#,##0.00\)&quot;$/prc&quot;"/>
    <numFmt numFmtId="176" formatCode="#,##0.00_)&quot;$/100kg&quot;;\(#,##0.00\)&quot;$/100kg&quot;"/>
    <numFmt numFmtId="177" formatCode="0.0000"/>
    <numFmt numFmtId="178" formatCode="#,##0.000\ [$$-C0C]&quot;/kg&quot;"/>
    <numFmt numFmtId="179" formatCode="0.0"/>
    <numFmt numFmtId="180" formatCode="_ * #,##0.000_)\ [$$-C0C]_ ;_ * \(#,##0.000\)\ [$$-C0C]_ ;_ * &quot;-&quot;???_)\ [$$-C0C]_ ;_ @_ "/>
    <numFmt numFmtId="181" formatCode="0.00_);[Red]\(0.00\)"/>
    <numFmt numFmtId="182" formatCode="#,##0.0000\ &quot;$&quot;"/>
    <numFmt numFmtId="183" formatCode="#,##0.000\ &quot;$&quot;_);[Red]\(#,##0.000\ &quot;$&quot;\)"/>
    <numFmt numFmtId="184" formatCode="0_);[Red]\(0\)"/>
    <numFmt numFmtId="185" formatCode="0&quot; &quot;%"/>
    <numFmt numFmtId="186" formatCode="_ * #,##0.0_)\ [$$-C0C]_ ;_ * \(#,##0.0\)\ [$$-C0C]_ ;_ * &quot;-&quot;???_)\ [$$-C0C]_ ;_ @_ "/>
    <numFmt numFmtId="187" formatCode="#,##0.000\ [$$-C0C]&quot;*&quot;"/>
    <numFmt numFmtId="188" formatCode="0.0000&quot; &quot;%"/>
    <numFmt numFmtId="189" formatCode="#,##0.000\ [$$-C0C]"/>
    <numFmt numFmtId="190" formatCode="_ * #,##0.000_)\ &quot;$&quot;_ ;_ * \(#,##0.000\)\ &quot;$&quot;_ ;_ * &quot;-&quot;??_)\ &quot;$&quot;_ ;_ @_ "/>
  </numFmts>
  <fonts count="59" x14ac:knownFonts="1">
    <font>
      <sz val="10"/>
      <name val="Arial"/>
      <family val="2"/>
    </font>
    <font>
      <sz val="10"/>
      <name val="Arial"/>
      <family val="2"/>
    </font>
    <font>
      <sz val="8"/>
      <name val="Arial"/>
      <family val="2"/>
    </font>
    <font>
      <sz val="10"/>
      <name val="Arial"/>
      <family val="2"/>
    </font>
    <font>
      <b/>
      <sz val="11"/>
      <color indexed="18"/>
      <name val="Calibri"/>
      <family val="2"/>
    </font>
    <font>
      <sz val="10"/>
      <color indexed="18"/>
      <name val="Arial"/>
      <family val="2"/>
    </font>
    <font>
      <b/>
      <u/>
      <sz val="12"/>
      <name val="Arial"/>
      <family val="2"/>
    </font>
    <font>
      <b/>
      <sz val="10"/>
      <name val="Arial"/>
      <family val="2"/>
    </font>
    <font>
      <b/>
      <u/>
      <sz val="16"/>
      <name val="Arial"/>
      <family val="2"/>
    </font>
    <font>
      <u/>
      <sz val="10"/>
      <name val="Arial"/>
      <family val="2"/>
    </font>
    <font>
      <b/>
      <u/>
      <sz val="10"/>
      <name val="Arial"/>
      <family val="2"/>
    </font>
    <font>
      <sz val="11"/>
      <color indexed="18"/>
      <name val="Calibri"/>
      <family val="2"/>
    </font>
    <font>
      <sz val="12"/>
      <name val="Arial"/>
      <family val="2"/>
    </font>
    <font>
      <i/>
      <sz val="12"/>
      <name val="Arial"/>
      <family val="2"/>
    </font>
    <font>
      <b/>
      <sz val="10"/>
      <color indexed="48"/>
      <name val="Arial"/>
      <family val="2"/>
    </font>
    <font>
      <b/>
      <i/>
      <sz val="12"/>
      <color indexed="17"/>
      <name val="Arial"/>
      <family val="2"/>
    </font>
    <font>
      <b/>
      <sz val="12"/>
      <name val="Arial"/>
      <family val="2"/>
    </font>
    <font>
      <b/>
      <sz val="10"/>
      <color indexed="9"/>
      <name val="Arial"/>
      <family val="2"/>
    </font>
    <font>
      <u/>
      <sz val="10"/>
      <name val="Arial"/>
      <family val="2"/>
    </font>
    <font>
      <sz val="10"/>
      <color indexed="12"/>
      <name val="Arial"/>
      <family val="2"/>
    </font>
    <font>
      <b/>
      <u/>
      <sz val="11"/>
      <name val="Arial"/>
      <family val="2"/>
    </font>
    <font>
      <sz val="10"/>
      <color indexed="12"/>
      <name val="Arial"/>
      <family val="2"/>
    </font>
    <font>
      <sz val="8"/>
      <name val="Arial"/>
      <family val="2"/>
    </font>
    <font>
      <sz val="11"/>
      <name val="Arial"/>
      <family val="2"/>
    </font>
    <font>
      <sz val="11"/>
      <name val="Arial"/>
      <family val="2"/>
    </font>
    <font>
      <u/>
      <sz val="11"/>
      <color indexed="12"/>
      <name val="Arial"/>
      <family val="2"/>
    </font>
    <font>
      <b/>
      <sz val="8"/>
      <color indexed="81"/>
      <name val="Tahoma"/>
      <family val="2"/>
    </font>
    <font>
      <i/>
      <sz val="10"/>
      <name val="Arial"/>
      <family val="2"/>
    </font>
    <font>
      <sz val="9"/>
      <name val="Arial"/>
      <family val="2"/>
    </font>
    <font>
      <b/>
      <i/>
      <sz val="12"/>
      <name val="Arial"/>
      <family val="2"/>
    </font>
    <font>
      <u val="singleAccounting"/>
      <sz val="10"/>
      <name val="Arial"/>
      <family val="2"/>
    </font>
    <font>
      <i/>
      <sz val="8"/>
      <name val="Arial"/>
      <family val="2"/>
    </font>
    <font>
      <i/>
      <u/>
      <sz val="8"/>
      <name val="Arial"/>
      <family val="2"/>
    </font>
    <font>
      <b/>
      <sz val="16"/>
      <name val="Arial"/>
      <family val="2"/>
    </font>
    <font>
      <b/>
      <i/>
      <sz val="11"/>
      <color indexed="17"/>
      <name val="Arial"/>
      <family val="2"/>
    </font>
    <font>
      <b/>
      <sz val="11"/>
      <name val="Arial"/>
      <family val="2"/>
    </font>
    <font>
      <i/>
      <sz val="8"/>
      <color indexed="10"/>
      <name val="Arial"/>
      <family val="2"/>
    </font>
    <font>
      <sz val="10"/>
      <color rgb="FF3366FF"/>
      <name val="Arial"/>
      <family val="2"/>
    </font>
    <font>
      <b/>
      <sz val="10"/>
      <color rgb="FF3366FF"/>
      <name val="Arial"/>
      <family val="2"/>
    </font>
    <font>
      <sz val="12"/>
      <color rgb="FF0070C0"/>
      <name val="Arial"/>
      <family val="2"/>
    </font>
    <font>
      <sz val="11"/>
      <color rgb="FF2542BD"/>
      <name val="Arial"/>
      <family val="2"/>
    </font>
    <font>
      <sz val="10"/>
      <color rgb="FF2542BD"/>
      <name val="Arial"/>
      <family val="2"/>
    </font>
    <font>
      <sz val="10"/>
      <color rgb="FF0070C0"/>
      <name val="Arial"/>
      <family val="2"/>
    </font>
    <font>
      <sz val="10"/>
      <color rgb="FFFF0000"/>
      <name val="Arial"/>
      <family val="2"/>
    </font>
    <font>
      <sz val="9"/>
      <color rgb="FFFF0000"/>
      <name val="Arial"/>
      <family val="2"/>
    </font>
    <font>
      <sz val="9"/>
      <color rgb="FF3366FF"/>
      <name val="Arial"/>
      <family val="2"/>
    </font>
    <font>
      <b/>
      <sz val="8"/>
      <color rgb="FF3366FF"/>
      <name val="Arial"/>
      <family val="2"/>
    </font>
    <font>
      <sz val="12"/>
      <color theme="0"/>
      <name val="Arial"/>
      <family val="2"/>
    </font>
    <font>
      <sz val="10"/>
      <color rgb="FF0000FF"/>
      <name val="Arial"/>
      <family val="2"/>
    </font>
    <font>
      <b/>
      <sz val="11"/>
      <color indexed="12"/>
      <name val="Arial"/>
      <family val="2"/>
    </font>
    <font>
      <vertAlign val="superscript"/>
      <sz val="9"/>
      <name val="Arial"/>
      <family val="2"/>
    </font>
    <font>
      <sz val="9"/>
      <color indexed="81"/>
      <name val="Tahoma"/>
      <family val="2"/>
    </font>
    <font>
      <b/>
      <sz val="9"/>
      <color indexed="81"/>
      <name val="Tahoma"/>
      <family val="2"/>
    </font>
    <font>
      <u/>
      <sz val="10"/>
      <color theme="10"/>
      <name val="Arial"/>
      <family val="2"/>
    </font>
    <font>
      <b/>
      <sz val="10.5"/>
      <color theme="0"/>
      <name val="Arial Narrow"/>
      <family val="2"/>
    </font>
    <font>
      <b/>
      <sz val="10"/>
      <color rgb="FF008000"/>
      <name val="Arial"/>
      <family val="2"/>
    </font>
    <font>
      <sz val="8.5"/>
      <name val="Arial"/>
      <family val="2"/>
    </font>
    <font>
      <strike/>
      <sz val="10"/>
      <name val="Arial"/>
      <family val="2"/>
    </font>
    <font>
      <strike/>
      <u/>
      <sz val="10"/>
      <color theme="10"/>
      <name val="Arial"/>
      <family val="2"/>
    </font>
  </fonts>
  <fills count="27">
    <fill>
      <patternFill patternType="none"/>
    </fill>
    <fill>
      <patternFill patternType="gray125"/>
    </fill>
    <fill>
      <patternFill patternType="solid">
        <fgColor indexed="29"/>
        <bgColor indexed="64"/>
      </patternFill>
    </fill>
    <fill>
      <patternFill patternType="solid">
        <fgColor indexed="47"/>
        <bgColor indexed="64"/>
      </patternFill>
    </fill>
    <fill>
      <patternFill patternType="solid">
        <fgColor indexed="42"/>
        <bgColor indexed="64"/>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10"/>
        <bgColor indexed="64"/>
      </patternFill>
    </fill>
    <fill>
      <patternFill patternType="solid">
        <fgColor indexed="44"/>
        <bgColor indexed="64"/>
      </patternFill>
    </fill>
    <fill>
      <patternFill patternType="solid">
        <fgColor indexed="17"/>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1"/>
        <bgColor indexed="64"/>
      </patternFill>
    </fill>
    <fill>
      <patternFill patternType="solid">
        <fgColor theme="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CC"/>
        <bgColor indexed="64"/>
      </patternFill>
    </fill>
    <fill>
      <patternFill patternType="solid">
        <fgColor theme="2" tint="-9.9978637043366805E-2"/>
        <bgColor indexed="64"/>
      </patternFill>
    </fill>
    <fill>
      <patternFill patternType="solid">
        <fgColor rgb="FFBCE292"/>
        <bgColor indexed="64"/>
      </patternFill>
    </fill>
    <fill>
      <patternFill patternType="solid">
        <fgColor rgb="FF99CCFF"/>
        <bgColor indexed="64"/>
      </patternFill>
    </fill>
    <fill>
      <patternFill patternType="solid">
        <fgColor rgb="FF008000"/>
        <bgColor indexed="64"/>
      </patternFill>
    </fill>
    <fill>
      <patternFill patternType="solid">
        <fgColor theme="0"/>
        <bgColor indexed="64"/>
      </patternFill>
    </fill>
    <fill>
      <patternFill patternType="solid">
        <fgColor theme="8" tint="0.59999389629810485"/>
        <bgColor indexed="64"/>
      </patternFill>
    </fill>
    <fill>
      <patternFill patternType="solid">
        <fgColor rgb="FFFFFF99"/>
        <bgColor indexed="64"/>
      </patternFill>
    </fill>
    <fill>
      <patternFill patternType="solid">
        <fgColor rgb="FF3366FF"/>
        <bgColor indexed="64"/>
      </patternFill>
    </fill>
  </fills>
  <borders count="10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bottom style="medium">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top style="double">
        <color indexed="64"/>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top style="thin">
        <color theme="0" tint="-0.499984740745262"/>
      </top>
      <bottom style="medium">
        <color indexed="64"/>
      </bottom>
      <diagonal/>
    </border>
    <border>
      <left style="medium">
        <color indexed="64"/>
      </left>
      <right/>
      <top style="medium">
        <color indexed="64"/>
      </top>
      <bottom style="thin">
        <color theme="0" tint="-0.499984740745262"/>
      </bottom>
      <diagonal/>
    </border>
    <border>
      <left style="thin">
        <color indexed="64"/>
      </left>
      <right/>
      <top style="medium">
        <color indexed="64"/>
      </top>
      <bottom style="thin">
        <color theme="0" tint="-0.499984740745262"/>
      </bottom>
      <diagonal/>
    </border>
    <border>
      <left/>
      <right style="thin">
        <color indexed="64"/>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thin">
        <color indexed="64"/>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indexed="64"/>
      </left>
      <right/>
      <top style="thin">
        <color theme="0" tint="-0.499984740745262"/>
      </top>
      <bottom style="medium">
        <color indexed="64"/>
      </bottom>
      <diagonal/>
    </border>
    <border>
      <left/>
      <right style="thin">
        <color indexed="64"/>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
      <left style="thin">
        <color indexed="64"/>
      </left>
      <right/>
      <top style="double">
        <color indexed="64"/>
      </top>
      <bottom style="thin">
        <color theme="0" tint="-0.499984740745262"/>
      </bottom>
      <diagonal/>
    </border>
    <border>
      <left/>
      <right style="thin">
        <color indexed="64"/>
      </right>
      <top style="double">
        <color indexed="64"/>
      </top>
      <bottom style="thin">
        <color theme="0" tint="-0.499984740745262"/>
      </bottom>
      <diagonal/>
    </border>
    <border>
      <left/>
      <right style="medium">
        <color indexed="64"/>
      </right>
      <top style="double">
        <color indexed="64"/>
      </top>
      <bottom style="thin">
        <color theme="0" tint="-0.499984740745262"/>
      </bottom>
      <diagonal/>
    </border>
    <border>
      <left style="thin">
        <color indexed="64"/>
      </left>
      <right/>
      <top/>
      <bottom style="thin">
        <color theme="0" tint="-0.249977111117893"/>
      </bottom>
      <diagonal/>
    </border>
    <border>
      <left/>
      <right/>
      <top/>
      <bottom style="thin">
        <color theme="0" tint="-0.249977111117893"/>
      </bottom>
      <diagonal/>
    </border>
    <border>
      <left/>
      <right style="thin">
        <color indexed="64"/>
      </right>
      <top/>
      <bottom style="thin">
        <color theme="0" tint="-0.249977111117893"/>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top style="medium">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top style="thin">
        <color theme="0" tint="-0.499984740745262"/>
      </top>
      <bottom style="thin">
        <color theme="0" tint="-0.499984740745262"/>
      </bottom>
      <diagonal/>
    </border>
    <border>
      <left/>
      <right/>
      <top style="thin">
        <color theme="0" tint="-0.499984740745262"/>
      </top>
      <bottom style="medium">
        <color indexed="64"/>
      </bottom>
      <diagonal/>
    </border>
    <border>
      <left/>
      <right/>
      <top style="medium">
        <color indexed="64"/>
      </top>
      <bottom style="thin">
        <color theme="0" tint="-0.499984740745262"/>
      </bottom>
      <diagonal/>
    </border>
    <border>
      <left/>
      <right/>
      <top style="double">
        <color indexed="64"/>
      </top>
      <bottom style="thin">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15">
    <xf numFmtId="0" fontId="0" fillId="0" borderId="0"/>
    <xf numFmtId="0" fontId="25" fillId="0" borderId="0" applyNumberFormat="0" applyFill="0" applyBorder="0" applyAlignment="0" applyProtection="0">
      <alignment vertical="top"/>
      <protection locked="0"/>
    </xf>
    <xf numFmtId="44" fontId="1" fillId="0" borderId="0" applyFont="0" applyFill="0" applyBorder="0" applyAlignment="0" applyProtection="0"/>
    <xf numFmtId="173" fontId="24" fillId="0" borderId="0" applyFont="0" applyFill="0" applyBorder="0" applyAlignment="0" applyProtection="0"/>
    <xf numFmtId="44" fontId="1" fillId="0" borderId="0" applyFont="0" applyFill="0" applyBorder="0" applyAlignment="0" applyProtection="0"/>
    <xf numFmtId="0" fontId="23" fillId="0" borderId="0"/>
    <xf numFmtId="0" fontId="24" fillId="0" borderId="0"/>
    <xf numFmtId="0" fontId="24" fillId="0" borderId="0"/>
    <xf numFmtId="0" fontId="1" fillId="0" borderId="0"/>
    <xf numFmtId="0" fontId="24" fillId="0" borderId="0"/>
    <xf numFmtId="0" fontId="1" fillId="0" borderId="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0" fontId="53" fillId="0" borderId="0" applyNumberFormat="0" applyFill="0" applyBorder="0" applyAlignment="0" applyProtection="0"/>
  </cellStyleXfs>
  <cellXfs count="408">
    <xf numFmtId="0" fontId="0" fillId="0" borderId="0" xfId="0"/>
    <xf numFmtId="1" fontId="0" fillId="0" borderId="0" xfId="0" applyNumberFormat="1" applyAlignment="1">
      <alignment horizontal="center"/>
    </xf>
    <xf numFmtId="164" fontId="9" fillId="0" borderId="0" xfId="2" applyNumberFormat="1" applyFont="1" applyFill="1" applyBorder="1" applyAlignment="1">
      <alignment horizontal="center"/>
    </xf>
    <xf numFmtId="1" fontId="9" fillId="0" borderId="0" xfId="0" applyNumberFormat="1" applyFont="1" applyAlignment="1">
      <alignment horizontal="center"/>
    </xf>
    <xf numFmtId="0" fontId="3" fillId="0" borderId="0" xfId="0" applyFont="1"/>
    <xf numFmtId="0" fontId="0" fillId="0" borderId="0" xfId="0" applyAlignment="1">
      <alignment horizontal="right"/>
    </xf>
    <xf numFmtId="0" fontId="12" fillId="0" borderId="0" xfId="0" applyFont="1"/>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12" fillId="0" borderId="6" xfId="0" applyFont="1" applyBorder="1"/>
    <xf numFmtId="0" fontId="12" fillId="0" borderId="7" xfId="0" applyFont="1" applyBorder="1"/>
    <xf numFmtId="0" fontId="12" fillId="0" borderId="8" xfId="0" applyFont="1" applyBorder="1"/>
    <xf numFmtId="0" fontId="12" fillId="0" borderId="9" xfId="0" applyFont="1" applyBorder="1"/>
    <xf numFmtId="0" fontId="12" fillId="0" borderId="9" xfId="0" applyFont="1" applyBorder="1" applyAlignment="1">
      <alignment horizontal="center"/>
    </xf>
    <xf numFmtId="0" fontId="13" fillId="0" borderId="0" xfId="0" quotePrefix="1" applyFont="1"/>
    <xf numFmtId="44" fontId="12" fillId="2" borderId="9" xfId="2" applyFont="1" applyFill="1" applyBorder="1"/>
    <xf numFmtId="9" fontId="12" fillId="0" borderId="0" xfId="11" applyFont="1" applyBorder="1" applyAlignment="1">
      <alignment horizontal="center"/>
    </xf>
    <xf numFmtId="9" fontId="12" fillId="0" borderId="7" xfId="11" applyFont="1" applyBorder="1" applyAlignment="1">
      <alignment horizontal="center"/>
    </xf>
    <xf numFmtId="0" fontId="12" fillId="0" borderId="9" xfId="0" quotePrefix="1" applyFont="1" applyBorder="1" applyAlignment="1">
      <alignment horizontal="center"/>
    </xf>
    <xf numFmtId="0" fontId="7" fillId="0" borderId="0" xfId="0" applyFont="1"/>
    <xf numFmtId="1" fontId="0" fillId="3" borderId="0" xfId="0" applyNumberFormat="1" applyFill="1" applyAlignment="1">
      <alignment horizontal="left" shrinkToFit="1"/>
    </xf>
    <xf numFmtId="1" fontId="0" fillId="4" borderId="0" xfId="0" applyNumberFormat="1" applyFill="1" applyAlignment="1">
      <alignment horizontal="left"/>
    </xf>
    <xf numFmtId="0" fontId="17" fillId="5" borderId="15" xfId="0" applyFont="1" applyFill="1" applyBorder="1"/>
    <xf numFmtId="0" fontId="17" fillId="5" borderId="16" xfId="0" applyFont="1" applyFill="1" applyBorder="1"/>
    <xf numFmtId="0" fontId="17" fillId="5" borderId="16" xfId="0" applyFont="1" applyFill="1" applyBorder="1" applyAlignment="1">
      <alignment horizontal="center"/>
    </xf>
    <xf numFmtId="0" fontId="17" fillId="5" borderId="17" xfId="0" applyFont="1" applyFill="1" applyBorder="1" applyAlignment="1">
      <alignment horizontal="center"/>
    </xf>
    <xf numFmtId="0" fontId="17" fillId="5" borderId="18" xfId="0" applyFont="1" applyFill="1" applyBorder="1" applyAlignment="1">
      <alignment horizontal="center" shrinkToFit="1"/>
    </xf>
    <xf numFmtId="0" fontId="18" fillId="0" borderId="0" xfId="0" applyFont="1" applyAlignment="1">
      <alignment horizontal="center"/>
    </xf>
    <xf numFmtId="2" fontId="17" fillId="5" borderId="12" xfId="0" applyNumberFormat="1" applyFont="1" applyFill="1" applyBorder="1" applyAlignment="1">
      <alignment horizontal="center"/>
    </xf>
    <xf numFmtId="2" fontId="17" fillId="5" borderId="19" xfId="0" applyNumberFormat="1" applyFont="1" applyFill="1" applyBorder="1" applyAlignment="1">
      <alignment horizontal="center"/>
    </xf>
    <xf numFmtId="0" fontId="17" fillId="5" borderId="19" xfId="0" applyFont="1" applyFill="1" applyBorder="1" applyAlignment="1">
      <alignment horizontal="center"/>
    </xf>
    <xf numFmtId="0" fontId="17" fillId="5" borderId="20" xfId="0" applyFont="1" applyFill="1" applyBorder="1" applyAlignment="1">
      <alignment horizontal="center"/>
    </xf>
    <xf numFmtId="0" fontId="19" fillId="0" borderId="0" xfId="0" applyFont="1" applyAlignment="1">
      <alignment horizontal="center"/>
    </xf>
    <xf numFmtId="0" fontId="0" fillId="0" borderId="19" xfId="0" applyBorder="1" applyAlignment="1">
      <alignment horizontal="center"/>
    </xf>
    <xf numFmtId="0" fontId="0" fillId="0" borderId="20" xfId="0" applyBorder="1" applyAlignment="1">
      <alignment horizontal="center"/>
    </xf>
    <xf numFmtId="0" fontId="18" fillId="0" borderId="0" xfId="0" applyFont="1" applyAlignment="1">
      <alignment horizontal="center" shrinkToFit="1"/>
    </xf>
    <xf numFmtId="0" fontId="0" fillId="4" borderId="0" xfId="0" applyFill="1"/>
    <xf numFmtId="0" fontId="17" fillId="5" borderId="21" xfId="0" applyFont="1" applyFill="1" applyBorder="1" applyAlignment="1">
      <alignment horizontal="center" shrinkToFit="1"/>
    </xf>
    <xf numFmtId="1" fontId="20" fillId="0" borderId="0" xfId="0" applyNumberFormat="1" applyFont="1" applyAlignment="1">
      <alignment horizontal="center"/>
    </xf>
    <xf numFmtId="2" fontId="21" fillId="0" borderId="0" xfId="0" applyNumberFormat="1" applyFont="1" applyAlignment="1">
      <alignment horizontal="center" shrinkToFit="1"/>
    </xf>
    <xf numFmtId="0" fontId="22" fillId="6" borderId="0" xfId="0" applyFont="1" applyFill="1" applyAlignment="1">
      <alignment horizontal="centerContinuous"/>
    </xf>
    <xf numFmtId="168" fontId="37" fillId="0" borderId="18" xfId="0" applyNumberFormat="1" applyFont="1" applyBorder="1" applyAlignment="1">
      <alignment horizontal="center"/>
    </xf>
    <xf numFmtId="2" fontId="37" fillId="0" borderId="0" xfId="0" applyNumberFormat="1" applyFont="1" applyAlignment="1">
      <alignment horizontal="center"/>
    </xf>
    <xf numFmtId="2" fontId="37" fillId="0" borderId="22" xfId="0" applyNumberFormat="1" applyFont="1" applyBorder="1" applyAlignment="1">
      <alignment horizontal="center"/>
    </xf>
    <xf numFmtId="2" fontId="37" fillId="0" borderId="23" xfId="0" applyNumberFormat="1" applyFont="1" applyBorder="1" applyAlignment="1">
      <alignment horizontal="center"/>
    </xf>
    <xf numFmtId="168" fontId="37" fillId="0" borderId="24" xfId="0" applyNumberFormat="1" applyFont="1" applyBorder="1" applyAlignment="1">
      <alignment horizontal="center"/>
    </xf>
    <xf numFmtId="2" fontId="37" fillId="0" borderId="19" xfId="0" applyNumberFormat="1" applyFont="1" applyBorder="1" applyAlignment="1">
      <alignment horizontal="center"/>
    </xf>
    <xf numFmtId="2" fontId="37" fillId="0" borderId="12" xfId="0" applyNumberFormat="1" applyFont="1" applyBorder="1" applyAlignment="1">
      <alignment horizontal="center"/>
    </xf>
    <xf numFmtId="2" fontId="37" fillId="0" borderId="20" xfId="0" applyNumberFormat="1" applyFont="1" applyBorder="1" applyAlignment="1">
      <alignment horizontal="center"/>
    </xf>
    <xf numFmtId="168" fontId="37" fillId="0" borderId="21" xfId="0" applyNumberFormat="1" applyFont="1" applyBorder="1" applyAlignment="1">
      <alignment horizontal="center"/>
    </xf>
    <xf numFmtId="17" fontId="38" fillId="0" borderId="22" xfId="0" applyNumberFormat="1" applyFont="1" applyBorder="1" applyAlignment="1">
      <alignment horizontal="center"/>
    </xf>
    <xf numFmtId="17" fontId="38" fillId="0" borderId="15" xfId="0" applyNumberFormat="1" applyFont="1" applyBorder="1" applyAlignment="1">
      <alignment horizontal="center"/>
    </xf>
    <xf numFmtId="2" fontId="37" fillId="0" borderId="16" xfId="0" applyNumberFormat="1" applyFont="1" applyBorder="1" applyAlignment="1">
      <alignment horizontal="center"/>
    </xf>
    <xf numFmtId="2" fontId="37" fillId="0" borderId="17" xfId="0" applyNumberFormat="1" applyFont="1" applyBorder="1" applyAlignment="1">
      <alignment horizontal="center"/>
    </xf>
    <xf numFmtId="17" fontId="38" fillId="0" borderId="12" xfId="0" applyNumberFormat="1" applyFont="1" applyBorder="1" applyAlignment="1">
      <alignment horizontal="center"/>
    </xf>
    <xf numFmtId="168" fontId="37" fillId="0" borderId="25" xfId="0" applyNumberFormat="1" applyFont="1" applyBorder="1" applyAlignment="1">
      <alignment horizontal="center"/>
    </xf>
    <xf numFmtId="1" fontId="0" fillId="0" borderId="0" xfId="0" applyNumberFormat="1" applyAlignment="1">
      <alignment horizontal="right"/>
    </xf>
    <xf numFmtId="172" fontId="15" fillId="0" borderId="26" xfId="5" applyNumberFormat="1" applyFont="1" applyBorder="1" applyAlignment="1">
      <alignment horizontal="center" shrinkToFit="1"/>
    </xf>
    <xf numFmtId="0" fontId="0" fillId="0" borderId="8" xfId="0" applyBorder="1"/>
    <xf numFmtId="0" fontId="0" fillId="0" borderId="7" xfId="0" applyBorder="1"/>
    <xf numFmtId="0" fontId="0" fillId="0" borderId="8" xfId="0" applyBorder="1" applyAlignment="1">
      <alignment horizontal="center" vertical="center" shrinkToFit="1"/>
    </xf>
    <xf numFmtId="0" fontId="24" fillId="0" borderId="0" xfId="9" applyAlignment="1">
      <alignment horizontal="right"/>
    </xf>
    <xf numFmtId="44" fontId="39" fillId="0" borderId="9" xfId="2" applyFont="1" applyBorder="1" applyAlignment="1">
      <alignment horizontal="center"/>
    </xf>
    <xf numFmtId="0" fontId="39" fillId="0" borderId="0" xfId="0" applyFont="1"/>
    <xf numFmtId="0" fontId="1" fillId="0" borderId="0" xfId="0" applyFont="1"/>
    <xf numFmtId="0" fontId="1" fillId="0" borderId="0" xfId="0" applyFont="1" applyAlignment="1">
      <alignment horizontal="right"/>
    </xf>
    <xf numFmtId="1" fontId="0" fillId="7" borderId="0" xfId="0" applyNumberFormat="1" applyFill="1" applyAlignment="1">
      <alignment horizontal="center"/>
    </xf>
    <xf numFmtId="2" fontId="40" fillId="0" borderId="0" xfId="0" applyNumberFormat="1" applyFont="1" applyAlignment="1">
      <alignment horizontal="center"/>
    </xf>
    <xf numFmtId="171" fontId="41" fillId="0" borderId="0" xfId="2" applyNumberFormat="1" applyFont="1" applyBorder="1" applyAlignment="1">
      <alignment horizontal="center"/>
    </xf>
    <xf numFmtId="171" fontId="41" fillId="0" borderId="0" xfId="2" applyNumberFormat="1" applyFont="1" applyFill="1" applyBorder="1" applyAlignment="1">
      <alignment horizontal="center"/>
    </xf>
    <xf numFmtId="9" fontId="41" fillId="0" borderId="0" xfId="12" applyFont="1" applyAlignment="1">
      <alignment horizontal="center"/>
    </xf>
    <xf numFmtId="44" fontId="39" fillId="11" borderId="9" xfId="2" applyFont="1" applyFill="1" applyBorder="1"/>
    <xf numFmtId="175" fontId="39" fillId="11" borderId="9" xfId="2" applyNumberFormat="1" applyFont="1" applyFill="1" applyBorder="1" applyAlignment="1">
      <alignment shrinkToFit="1"/>
    </xf>
    <xf numFmtId="176" fontId="39" fillId="11" borderId="9" xfId="2" applyNumberFormat="1" applyFont="1" applyFill="1" applyBorder="1" applyAlignment="1">
      <alignment shrinkToFit="1"/>
    </xf>
    <xf numFmtId="0" fontId="0" fillId="0" borderId="27" xfId="0" quotePrefix="1" applyBorder="1" applyAlignment="1">
      <alignment horizontal="centerContinuous"/>
    </xf>
    <xf numFmtId="0" fontId="12" fillId="0" borderId="28" xfId="0" applyFont="1" applyBorder="1" applyAlignment="1">
      <alignment horizontal="centerContinuous"/>
    </xf>
    <xf numFmtId="0" fontId="0" fillId="0" borderId="27" xfId="0" applyBorder="1" applyAlignment="1">
      <alignment horizontal="centerContinuous"/>
    </xf>
    <xf numFmtId="0" fontId="12" fillId="0" borderId="29" xfId="0" applyFont="1" applyBorder="1" applyAlignment="1">
      <alignment horizontal="centerContinuous"/>
    </xf>
    <xf numFmtId="0" fontId="12" fillId="0" borderId="30" xfId="0" applyFont="1" applyBorder="1" applyAlignment="1">
      <alignment horizontal="center"/>
    </xf>
    <xf numFmtId="0" fontId="27" fillId="0" borderId="31" xfId="0" quotePrefix="1" applyFont="1" applyBorder="1" applyAlignment="1">
      <alignment horizontal="center" vertical="center"/>
    </xf>
    <xf numFmtId="0" fontId="12" fillId="0" borderId="30" xfId="0" quotePrefix="1" applyFont="1" applyBorder="1" applyAlignment="1">
      <alignment horizontal="center"/>
    </xf>
    <xf numFmtId="7" fontId="42" fillId="11" borderId="32" xfId="2" applyNumberFormat="1" applyFont="1" applyFill="1" applyBorder="1" applyAlignment="1">
      <alignment horizontal="center"/>
    </xf>
    <xf numFmtId="7" fontId="42" fillId="11" borderId="32" xfId="2" applyNumberFormat="1" applyFont="1" applyFill="1" applyBorder="1" applyAlignment="1">
      <alignment horizontal="center" shrinkToFit="1"/>
    </xf>
    <xf numFmtId="177" fontId="27" fillId="0" borderId="33" xfId="0" applyNumberFormat="1" applyFont="1" applyBorder="1" applyAlignment="1">
      <alignment horizontal="center"/>
    </xf>
    <xf numFmtId="7" fontId="42" fillId="11" borderId="34" xfId="2" applyNumberFormat="1" applyFont="1" applyFill="1" applyBorder="1" applyAlignment="1">
      <alignment horizontal="center"/>
    </xf>
    <xf numFmtId="177" fontId="27" fillId="0" borderId="35" xfId="0" applyNumberFormat="1" applyFont="1" applyBorder="1" applyAlignment="1">
      <alignment horizontal="center"/>
    </xf>
    <xf numFmtId="7" fontId="42" fillId="11" borderId="34" xfId="2" applyNumberFormat="1" applyFont="1" applyFill="1" applyBorder="1" applyAlignment="1">
      <alignment horizontal="center" shrinkToFit="1"/>
    </xf>
    <xf numFmtId="7" fontId="42" fillId="0" borderId="32" xfId="2" applyNumberFormat="1" applyFont="1" applyFill="1" applyBorder="1" applyAlignment="1">
      <alignment horizontal="center"/>
    </xf>
    <xf numFmtId="7" fontId="42" fillId="0" borderId="32" xfId="2" applyNumberFormat="1" applyFont="1" applyFill="1" applyBorder="1" applyAlignment="1">
      <alignment horizontal="center" shrinkToFit="1"/>
    </xf>
    <xf numFmtId="9" fontId="28" fillId="0" borderId="0" xfId="11" applyFont="1" applyAlignment="1">
      <alignment horizontal="center"/>
    </xf>
    <xf numFmtId="7" fontId="43" fillId="11" borderId="32" xfId="2" applyNumberFormat="1" applyFont="1" applyFill="1" applyBorder="1" applyAlignment="1">
      <alignment horizontal="center"/>
    </xf>
    <xf numFmtId="9" fontId="44" fillId="0" borderId="0" xfId="11" applyFont="1" applyAlignment="1">
      <alignment horizontal="center"/>
    </xf>
    <xf numFmtId="0" fontId="12" fillId="0" borderId="0" xfId="0" applyFont="1" applyAlignment="1">
      <alignment horizontal="right"/>
    </xf>
    <xf numFmtId="44" fontId="12" fillId="0" borderId="0" xfId="0" applyNumberFormat="1" applyFont="1"/>
    <xf numFmtId="170" fontId="38" fillId="0" borderId="36" xfId="0" applyNumberFormat="1" applyFont="1" applyBorder="1" applyAlignment="1">
      <alignment horizontal="center"/>
    </xf>
    <xf numFmtId="2" fontId="45" fillId="3" borderId="37" xfId="0" applyNumberFormat="1" applyFont="1" applyFill="1" applyBorder="1" applyAlignment="1">
      <alignment horizontal="center"/>
    </xf>
    <xf numFmtId="2" fontId="45" fillId="4" borderId="36" xfId="0" applyNumberFormat="1" applyFont="1" applyFill="1" applyBorder="1" applyAlignment="1">
      <alignment horizontal="center"/>
    </xf>
    <xf numFmtId="2" fontId="45" fillId="4" borderId="37" xfId="0" applyNumberFormat="1" applyFont="1" applyFill="1" applyBorder="1" applyAlignment="1">
      <alignment horizontal="center"/>
    </xf>
    <xf numFmtId="2" fontId="45" fillId="4" borderId="38" xfId="0" applyNumberFormat="1" applyFont="1" applyFill="1" applyBorder="1" applyAlignment="1">
      <alignment horizontal="center"/>
    </xf>
    <xf numFmtId="0" fontId="0" fillId="0" borderId="19" xfId="0" applyBorder="1"/>
    <xf numFmtId="0" fontId="0" fillId="0" borderId="19" xfId="0" applyBorder="1" applyAlignment="1">
      <alignment horizontal="right"/>
    </xf>
    <xf numFmtId="0" fontId="0" fillId="12" borderId="37" xfId="0" applyFill="1" applyBorder="1"/>
    <xf numFmtId="0" fontId="0" fillId="12" borderId="37" xfId="0" applyFill="1" applyBorder="1" applyAlignment="1">
      <alignment horizontal="right"/>
    </xf>
    <xf numFmtId="1" fontId="46" fillId="12" borderId="36" xfId="0" applyNumberFormat="1" applyFont="1" applyFill="1" applyBorder="1" applyAlignment="1">
      <alignment horizontal="center"/>
    </xf>
    <xf numFmtId="44" fontId="12" fillId="0" borderId="0" xfId="0" applyNumberFormat="1" applyFont="1" applyAlignment="1">
      <alignment horizontal="center"/>
    </xf>
    <xf numFmtId="0" fontId="12" fillId="0" borderId="0" xfId="0" applyFont="1" applyAlignment="1">
      <alignment horizontal="right" vertical="center"/>
    </xf>
    <xf numFmtId="44" fontId="47" fillId="8" borderId="9" xfId="2" applyFont="1" applyFill="1" applyBorder="1"/>
    <xf numFmtId="176" fontId="47" fillId="8" borderId="9" xfId="2" applyNumberFormat="1" applyFont="1" applyFill="1" applyBorder="1" applyAlignment="1">
      <alignment shrinkToFit="1"/>
    </xf>
    <xf numFmtId="44" fontId="12" fillId="11" borderId="0" xfId="0" applyNumberFormat="1" applyFont="1" applyFill="1"/>
    <xf numFmtId="15" fontId="0" fillId="0" borderId="0" xfId="0" applyNumberFormat="1" applyAlignment="1">
      <alignment horizontal="center"/>
    </xf>
    <xf numFmtId="179" fontId="0" fillId="0" borderId="0" xfId="0" applyNumberFormat="1" applyAlignment="1">
      <alignment horizontal="center"/>
    </xf>
    <xf numFmtId="2" fontId="41" fillId="0" borderId="0" xfId="0" applyNumberFormat="1" applyFont="1" applyAlignment="1">
      <alignment horizontal="center" shrinkToFit="1"/>
    </xf>
    <xf numFmtId="177" fontId="41" fillId="0" borderId="0" xfId="0" applyNumberFormat="1" applyFont="1" applyAlignment="1">
      <alignment horizontal="center" shrinkToFit="1"/>
    </xf>
    <xf numFmtId="0" fontId="23" fillId="0" borderId="0" xfId="9" applyFont="1" applyAlignment="1">
      <alignment horizontal="right"/>
    </xf>
    <xf numFmtId="166" fontId="7" fillId="0" borderId="0" xfId="11" applyNumberFormat="1" applyFont="1" applyFill="1" applyBorder="1" applyAlignment="1">
      <alignment horizontal="left"/>
    </xf>
    <xf numFmtId="1" fontId="0" fillId="0" borderId="0" xfId="0" applyNumberFormat="1" applyAlignment="1">
      <alignment horizontal="left"/>
    </xf>
    <xf numFmtId="4" fontId="48" fillId="0" borderId="0" xfId="2" applyNumberFormat="1" applyFont="1" applyFill="1" applyBorder="1" applyAlignment="1">
      <alignment horizontal="center"/>
    </xf>
    <xf numFmtId="4" fontId="48" fillId="0" borderId="0" xfId="2" quotePrefix="1" applyNumberFormat="1" applyFont="1" applyFill="1" applyBorder="1" applyAlignment="1">
      <alignment horizontal="center"/>
    </xf>
    <xf numFmtId="4" fontId="48" fillId="13" borderId="0" xfId="2" applyNumberFormat="1" applyFont="1" applyFill="1" applyBorder="1" applyAlignment="1">
      <alignment horizontal="center"/>
    </xf>
    <xf numFmtId="1" fontId="16" fillId="0" borderId="0" xfId="2" applyNumberFormat="1" applyFont="1" applyFill="1" applyBorder="1" applyAlignment="1">
      <alignment horizontal="center"/>
    </xf>
    <xf numFmtId="1" fontId="0" fillId="0" borderId="0" xfId="0" applyNumberFormat="1" applyAlignment="1">
      <alignment horizontal="right" vertical="center"/>
    </xf>
    <xf numFmtId="164" fontId="9" fillId="0" borderId="0" xfId="2" applyNumberFormat="1" applyFont="1" applyFill="1" applyBorder="1" applyAlignment="1">
      <alignment horizontal="centerContinuous"/>
    </xf>
    <xf numFmtId="1" fontId="9" fillId="0" borderId="0" xfId="0" applyNumberFormat="1" applyFont="1" applyAlignment="1">
      <alignment horizontal="centerContinuous"/>
    </xf>
    <xf numFmtId="164" fontId="10" fillId="0" borderId="0" xfId="2" applyNumberFormat="1" applyFont="1" applyFill="1" applyBorder="1" applyAlignment="1">
      <alignment horizontal="centerContinuous"/>
    </xf>
    <xf numFmtId="166" fontId="10" fillId="0" borderId="0" xfId="11" applyNumberFormat="1" applyFont="1" applyFill="1" applyBorder="1" applyAlignment="1">
      <alignment horizontal="centerContinuous"/>
    </xf>
    <xf numFmtId="1" fontId="10" fillId="0" borderId="0" xfId="0" applyNumberFormat="1" applyFont="1" applyAlignment="1">
      <alignment horizontal="centerContinuous"/>
    </xf>
    <xf numFmtId="1" fontId="0" fillId="0" borderId="0" xfId="0" applyNumberFormat="1" applyAlignment="1">
      <alignment horizontal="centerContinuous"/>
    </xf>
    <xf numFmtId="1" fontId="7" fillId="0" borderId="0" xfId="0" applyNumberFormat="1" applyFont="1" applyAlignment="1">
      <alignment horizontal="right" vertical="center"/>
    </xf>
    <xf numFmtId="1" fontId="7" fillId="0" borderId="0" xfId="0" applyNumberFormat="1" applyFont="1" applyAlignment="1">
      <alignment horizontal="right"/>
    </xf>
    <xf numFmtId="1" fontId="9" fillId="0" borderId="0" xfId="0" applyNumberFormat="1" applyFont="1" applyAlignment="1">
      <alignment horizontal="right"/>
    </xf>
    <xf numFmtId="1" fontId="6" fillId="0" borderId="0" xfId="2" applyNumberFormat="1" applyFont="1" applyFill="1" applyBorder="1" applyAlignment="1">
      <alignment horizontal="center" vertical="center"/>
    </xf>
    <xf numFmtId="164" fontId="0" fillId="0" borderId="0" xfId="2" applyNumberFormat="1" applyFont="1" applyFill="1" applyBorder="1" applyAlignment="1">
      <alignment horizontal="centerContinuous"/>
    </xf>
    <xf numFmtId="164" fontId="7" fillId="0" borderId="0" xfId="2" applyNumberFormat="1" applyFont="1" applyFill="1" applyBorder="1" applyAlignment="1">
      <alignment horizontal="centerContinuous"/>
    </xf>
    <xf numFmtId="166" fontId="7" fillId="0" borderId="0" xfId="11" applyNumberFormat="1" applyFont="1" applyFill="1" applyBorder="1" applyAlignment="1">
      <alignment horizontal="centerContinuous"/>
    </xf>
    <xf numFmtId="1" fontId="7" fillId="0" borderId="0" xfId="0" applyNumberFormat="1" applyFont="1" applyAlignment="1">
      <alignment horizontal="centerContinuous"/>
    </xf>
    <xf numFmtId="1" fontId="16" fillId="0" borderId="42" xfId="0" applyNumberFormat="1" applyFont="1" applyBorder="1" applyAlignment="1">
      <alignment horizontal="center" vertical="center" wrapText="1"/>
    </xf>
    <xf numFmtId="0" fontId="0" fillId="14" borderId="0" xfId="0" applyFill="1"/>
    <xf numFmtId="0" fontId="12" fillId="15" borderId="0" xfId="0" quotePrefix="1" applyFont="1" applyFill="1"/>
    <xf numFmtId="171" fontId="7" fillId="0" borderId="2" xfId="2" applyNumberFormat="1" applyFont="1" applyFill="1" applyBorder="1" applyAlignment="1">
      <alignment horizontal="center"/>
    </xf>
    <xf numFmtId="171" fontId="7" fillId="0" borderId="7" xfId="2" applyNumberFormat="1" applyFont="1" applyFill="1" applyBorder="1" applyAlignment="1">
      <alignment horizontal="center"/>
    </xf>
    <xf numFmtId="182" fontId="7" fillId="0" borderId="0" xfId="2" applyNumberFormat="1" applyFont="1" applyFill="1" applyBorder="1" applyAlignment="1">
      <alignment horizontal="center" vertical="center"/>
    </xf>
    <xf numFmtId="8" fontId="1" fillId="0" borderId="0" xfId="2" applyNumberFormat="1" applyFont="1" applyFill="1" applyBorder="1" applyAlignment="1">
      <alignment horizontal="center" vertical="center"/>
    </xf>
    <xf numFmtId="8" fontId="1" fillId="0" borderId="0" xfId="2" applyNumberFormat="1" applyFont="1" applyFill="1" applyBorder="1" applyAlignment="1">
      <alignment horizontal="center"/>
    </xf>
    <xf numFmtId="8" fontId="30" fillId="0" borderId="0" xfId="2" applyNumberFormat="1" applyFont="1" applyFill="1" applyBorder="1" applyAlignment="1">
      <alignment horizontal="center"/>
    </xf>
    <xf numFmtId="8" fontId="7" fillId="0" borderId="0" xfId="2" applyNumberFormat="1" applyFont="1" applyFill="1" applyBorder="1" applyAlignment="1">
      <alignment horizontal="center" vertical="center"/>
    </xf>
    <xf numFmtId="8" fontId="7" fillId="0" borderId="0" xfId="2" applyNumberFormat="1" applyFont="1" applyFill="1" applyBorder="1" applyAlignment="1">
      <alignment horizontal="center"/>
    </xf>
    <xf numFmtId="183" fontId="1" fillId="0" borderId="0" xfId="2" applyNumberFormat="1" applyFont="1" applyFill="1" applyBorder="1" applyAlignment="1">
      <alignment horizontal="center"/>
    </xf>
    <xf numFmtId="2" fontId="0" fillId="0" borderId="9" xfId="0" applyNumberFormat="1" applyBorder="1" applyAlignment="1">
      <alignment horizontal="center" vertical="center" shrinkToFit="1"/>
    </xf>
    <xf numFmtId="2" fontId="0" fillId="0" borderId="50" xfId="0" applyNumberFormat="1" applyBorder="1" applyAlignment="1">
      <alignment horizontal="center" vertical="center" shrinkToFit="1"/>
    </xf>
    <xf numFmtId="2" fontId="0" fillId="0" borderId="8" xfId="0" applyNumberFormat="1" applyBorder="1" applyAlignment="1">
      <alignment horizontal="center" vertical="center" shrinkToFit="1"/>
    </xf>
    <xf numFmtId="0" fontId="0" fillId="16" borderId="0" xfId="0" applyFill="1"/>
    <xf numFmtId="0" fontId="0" fillId="16" borderId="0" xfId="0" applyFill="1" applyAlignment="1">
      <alignment horizontal="right"/>
    </xf>
    <xf numFmtId="164" fontId="1" fillId="16" borderId="0" xfId="2" applyNumberFormat="1" applyFont="1" applyFill="1" applyBorder="1" applyAlignment="1">
      <alignment horizontal="center"/>
    </xf>
    <xf numFmtId="0" fontId="7" fillId="16" borderId="0" xfId="0" applyFont="1" applyFill="1"/>
    <xf numFmtId="0" fontId="3" fillId="16" borderId="0" xfId="0" applyFont="1" applyFill="1"/>
    <xf numFmtId="0" fontId="4" fillId="0" borderId="0" xfId="0" applyFont="1" applyAlignment="1">
      <alignment horizontal="right"/>
    </xf>
    <xf numFmtId="0" fontId="5" fillId="0" borderId="0" xfId="0" applyFont="1" applyAlignment="1">
      <alignment horizontal="right"/>
    </xf>
    <xf numFmtId="0" fontId="11" fillId="0" borderId="0" xfId="0" applyFont="1" applyAlignment="1">
      <alignment horizontal="right"/>
    </xf>
    <xf numFmtId="17" fontId="8" fillId="0" borderId="0" xfId="0" applyNumberFormat="1" applyFont="1" applyAlignment="1">
      <alignment horizontal="left"/>
    </xf>
    <xf numFmtId="0" fontId="31" fillId="0" borderId="0" xfId="0" applyFont="1" applyAlignment="1">
      <alignment horizontal="right" vertical="center"/>
    </xf>
    <xf numFmtId="0" fontId="32" fillId="0" borderId="0" xfId="0" applyFont="1" applyAlignment="1">
      <alignment horizontal="right" vertical="center"/>
    </xf>
    <xf numFmtId="0" fontId="7" fillId="0" borderId="0" xfId="0" applyFont="1" applyAlignment="1">
      <alignment horizontal="right" vertical="center"/>
    </xf>
    <xf numFmtId="181" fontId="9" fillId="0" borderId="0" xfId="0" applyNumberFormat="1" applyFont="1" applyAlignment="1">
      <alignment horizontal="center"/>
    </xf>
    <xf numFmtId="0" fontId="31" fillId="0" borderId="0" xfId="0" applyFont="1" applyAlignment="1">
      <alignment horizontal="right"/>
    </xf>
    <xf numFmtId="1" fontId="31" fillId="0" borderId="0" xfId="0" applyNumberFormat="1" applyFont="1" applyAlignment="1">
      <alignment horizontal="right" vertical="top"/>
    </xf>
    <xf numFmtId="17" fontId="33" fillId="0" borderId="0" xfId="0" applyNumberFormat="1" applyFont="1" applyAlignment="1">
      <alignment horizontal="centerContinuous"/>
    </xf>
    <xf numFmtId="0" fontId="10" fillId="0" borderId="0" xfId="0" applyFont="1" applyAlignment="1">
      <alignment horizontal="right" vertical="center"/>
    </xf>
    <xf numFmtId="0" fontId="7" fillId="0" borderId="1" xfId="0" applyFont="1" applyBorder="1"/>
    <xf numFmtId="0" fontId="7" fillId="0" borderId="2" xfId="0" applyFont="1" applyBorder="1"/>
    <xf numFmtId="0" fontId="7" fillId="0" borderId="2" xfId="0" applyFont="1" applyBorder="1" applyAlignment="1">
      <alignment horizontal="right"/>
    </xf>
    <xf numFmtId="0" fontId="31" fillId="0" borderId="2" xfId="0" applyFont="1" applyBorder="1" applyAlignment="1">
      <alignment horizontal="right"/>
    </xf>
    <xf numFmtId="0" fontId="7" fillId="0" borderId="3" xfId="0" applyFont="1" applyBorder="1"/>
    <xf numFmtId="0" fontId="0" fillId="0" borderId="4" xfId="0" applyBorder="1"/>
    <xf numFmtId="0" fontId="0" fillId="0" borderId="5" xfId="0" applyBorder="1"/>
    <xf numFmtId="0" fontId="7" fillId="0" borderId="4" xfId="0" applyFont="1" applyBorder="1"/>
    <xf numFmtId="0" fontId="31" fillId="0" borderId="0" xfId="0" quotePrefix="1" applyFont="1" applyAlignment="1">
      <alignment horizontal="right" vertical="center"/>
    </xf>
    <xf numFmtId="0" fontId="7" fillId="0" borderId="5" xfId="0" applyFont="1" applyBorder="1"/>
    <xf numFmtId="0" fontId="7" fillId="0" borderId="6" xfId="0" applyFont="1" applyBorder="1"/>
    <xf numFmtId="0" fontId="7" fillId="0" borderId="7" xfId="0" applyFont="1" applyBorder="1"/>
    <xf numFmtId="0" fontId="7" fillId="0" borderId="7" xfId="0" applyFont="1" applyBorder="1" applyAlignment="1">
      <alignment horizontal="right"/>
    </xf>
    <xf numFmtId="0" fontId="31" fillId="0" borderId="7" xfId="0" applyFont="1" applyBorder="1" applyAlignment="1">
      <alignment horizontal="right"/>
    </xf>
    <xf numFmtId="0" fontId="7" fillId="0" borderId="8" xfId="0" applyFont="1" applyBorder="1"/>
    <xf numFmtId="0" fontId="0" fillId="11" borderId="0" xfId="0" applyFill="1"/>
    <xf numFmtId="0" fontId="0" fillId="11" borderId="7" xfId="0" applyFill="1" applyBorder="1"/>
    <xf numFmtId="0" fontId="7" fillId="0" borderId="0" xfId="0" applyFont="1" applyAlignment="1">
      <alignment horizontal="centerContinuous"/>
    </xf>
    <xf numFmtId="0" fontId="0" fillId="0" borderId="0" xfId="0" applyAlignment="1">
      <alignment horizontal="centerContinuous"/>
    </xf>
    <xf numFmtId="0" fontId="0" fillId="0" borderId="1" xfId="0" applyBorder="1"/>
    <xf numFmtId="0" fontId="0" fillId="0" borderId="2" xfId="0" applyBorder="1"/>
    <xf numFmtId="0" fontId="0" fillId="0" borderId="3" xfId="0" applyBorder="1"/>
    <xf numFmtId="0" fontId="7" fillId="0" borderId="79" xfId="0" applyFont="1" applyBorder="1"/>
    <xf numFmtId="0" fontId="7" fillId="0" borderId="80" xfId="0" applyFont="1" applyBorder="1"/>
    <xf numFmtId="0" fontId="7" fillId="0" borderId="80" xfId="0" applyFont="1" applyBorder="1" applyAlignment="1">
      <alignment horizontal="right" vertical="top"/>
    </xf>
    <xf numFmtId="0" fontId="31" fillId="0" borderId="80" xfId="0" applyFont="1" applyBorder="1" applyAlignment="1">
      <alignment horizontal="right" wrapText="1"/>
    </xf>
    <xf numFmtId="171" fontId="7" fillId="0" borderId="80" xfId="2" applyNumberFormat="1" applyFont="1" applyFill="1" applyBorder="1" applyAlignment="1">
      <alignment horizontal="center" vertical="top"/>
    </xf>
    <xf numFmtId="0" fontId="7" fillId="0" borderId="81" xfId="0" applyFont="1" applyBorder="1"/>
    <xf numFmtId="184" fontId="6" fillId="0" borderId="0" xfId="0" applyNumberFormat="1" applyFont="1" applyAlignment="1">
      <alignment horizontal="center" vertical="center"/>
    </xf>
    <xf numFmtId="0" fontId="0" fillId="0" borderId="6" xfId="0" applyBorder="1"/>
    <xf numFmtId="165" fontId="9" fillId="0" borderId="0" xfId="2" applyNumberFormat="1" applyFont="1" applyFill="1" applyBorder="1" applyAlignment="1">
      <alignment horizontal="center"/>
    </xf>
    <xf numFmtId="168" fontId="0" fillId="0" borderId="0" xfId="0" applyNumberFormat="1"/>
    <xf numFmtId="2" fontId="0" fillId="0" borderId="0" xfId="0" applyNumberFormat="1"/>
    <xf numFmtId="9" fontId="9" fillId="0" borderId="0" xfId="0" applyNumberFormat="1" applyFont="1" applyAlignment="1">
      <alignment horizontal="center"/>
    </xf>
    <xf numFmtId="0" fontId="0" fillId="0" borderId="0" xfId="0" applyAlignment="1">
      <alignment horizontal="right" indent="2"/>
    </xf>
    <xf numFmtId="0" fontId="0" fillId="0" borderId="0" xfId="0" applyAlignment="1">
      <alignment horizontal="center"/>
    </xf>
    <xf numFmtId="1" fontId="16" fillId="0" borderId="87" xfId="0" applyNumberFormat="1" applyFont="1" applyBorder="1" applyAlignment="1">
      <alignment horizontal="center" vertical="center" wrapText="1"/>
    </xf>
    <xf numFmtId="17" fontId="7" fillId="0" borderId="90" xfId="0" applyNumberFormat="1" applyFont="1" applyBorder="1" applyAlignment="1">
      <alignment horizontal="center" wrapText="1"/>
    </xf>
    <xf numFmtId="17" fontId="7" fillId="0" borderId="60" xfId="0" applyNumberFormat="1" applyFont="1" applyBorder="1" applyAlignment="1">
      <alignment horizontal="center" wrapText="1"/>
    </xf>
    <xf numFmtId="17" fontId="7" fillId="0" borderId="93" xfId="0" applyNumberFormat="1" applyFont="1" applyBorder="1" applyAlignment="1">
      <alignment horizontal="center" wrapText="1"/>
    </xf>
    <xf numFmtId="17" fontId="14" fillId="0" borderId="93" xfId="0" applyNumberFormat="1" applyFont="1" applyBorder="1" applyAlignment="1">
      <alignment horizontal="center" wrapText="1"/>
    </xf>
    <xf numFmtId="17" fontId="14" fillId="0" borderId="90" xfId="0" applyNumberFormat="1" applyFont="1" applyBorder="1" applyAlignment="1">
      <alignment horizontal="center" wrapText="1"/>
    </xf>
    <xf numFmtId="17" fontId="14" fillId="0" borderId="60" xfId="0" applyNumberFormat="1" applyFont="1" applyBorder="1" applyAlignment="1">
      <alignment horizontal="center" wrapText="1"/>
    </xf>
    <xf numFmtId="1" fontId="16" fillId="0" borderId="61" xfId="0" applyNumberFormat="1" applyFont="1" applyBorder="1" applyAlignment="1">
      <alignment horizontal="center" vertical="center" wrapText="1"/>
    </xf>
    <xf numFmtId="172" fontId="34" fillId="0" borderId="95" xfId="0" applyNumberFormat="1" applyFont="1" applyBorder="1" applyAlignment="1">
      <alignment horizontal="center" vertical="center" wrapText="1" shrinkToFit="1"/>
    </xf>
    <xf numFmtId="185" fontId="0" fillId="0" borderId="0" xfId="0" applyNumberFormat="1"/>
    <xf numFmtId="1" fontId="2" fillId="0" borderId="0" xfId="0" applyNumberFormat="1" applyFont="1" applyAlignment="1">
      <alignment horizontal="left" vertical="center"/>
    </xf>
    <xf numFmtId="165" fontId="1" fillId="16" borderId="0" xfId="2" applyNumberFormat="1" applyFont="1" applyFill="1" applyBorder="1" applyAlignment="1">
      <alignment horizontal="center"/>
    </xf>
    <xf numFmtId="177" fontId="49" fillId="18" borderId="0" xfId="0" applyNumberFormat="1" applyFont="1" applyFill="1" applyAlignment="1">
      <alignment horizontal="center"/>
    </xf>
    <xf numFmtId="177" fontId="49" fillId="18" borderId="0" xfId="0" applyNumberFormat="1" applyFont="1" applyFill="1" applyAlignment="1">
      <alignment horizontal="left"/>
    </xf>
    <xf numFmtId="167" fontId="3" fillId="0" borderId="91" xfId="2" applyNumberFormat="1" applyFont="1" applyFill="1" applyBorder="1" applyAlignment="1">
      <alignment horizontal="center" shrinkToFit="1"/>
    </xf>
    <xf numFmtId="0" fontId="0" fillId="19" borderId="0" xfId="0" applyFill="1"/>
    <xf numFmtId="164" fontId="1" fillId="20" borderId="47" xfId="2" applyNumberFormat="1" applyFont="1" applyFill="1" applyBorder="1" applyAlignment="1" applyProtection="1">
      <alignment horizontal="center" vertical="center" wrapText="1" shrinkToFit="1"/>
    </xf>
    <xf numFmtId="164" fontId="1" fillId="20" borderId="48" xfId="2" applyNumberFormat="1" applyFont="1" applyFill="1" applyBorder="1" applyAlignment="1" applyProtection="1">
      <alignment horizontal="center" vertical="center" wrapText="1" shrinkToFit="1"/>
    </xf>
    <xf numFmtId="0" fontId="7" fillId="0" borderId="0" xfId="0" applyFont="1" applyAlignment="1">
      <alignment horizontal="left"/>
    </xf>
    <xf numFmtId="0" fontId="53" fillId="16" borderId="0" xfId="14" applyFill="1"/>
    <xf numFmtId="0" fontId="43" fillId="0" borderId="0" xfId="0" applyFont="1"/>
    <xf numFmtId="2" fontId="29" fillId="0" borderId="39" xfId="5" applyNumberFormat="1" applyFont="1" applyBorder="1" applyAlignment="1">
      <alignment horizontal="center"/>
    </xf>
    <xf numFmtId="2" fontId="29" fillId="0" borderId="40" xfId="5" applyNumberFormat="1" applyFont="1" applyBorder="1" applyAlignment="1">
      <alignment horizontal="center"/>
    </xf>
    <xf numFmtId="2" fontId="29" fillId="0" borderId="41" xfId="5" applyNumberFormat="1" applyFont="1" applyBorder="1" applyAlignment="1">
      <alignment horizontal="center"/>
    </xf>
    <xf numFmtId="17" fontId="20" fillId="0" borderId="0" xfId="0" applyNumberFormat="1" applyFont="1" applyAlignment="1">
      <alignment horizontal="left"/>
    </xf>
    <xf numFmtId="0" fontId="0" fillId="0" borderId="56" xfId="0" applyBorder="1" applyAlignment="1">
      <alignment horizontal="center" shrinkToFit="1"/>
    </xf>
    <xf numFmtId="0" fontId="0" fillId="0" borderId="58" xfId="0" applyBorder="1" applyAlignment="1">
      <alignment horizontal="center" shrinkToFit="1"/>
    </xf>
    <xf numFmtId="17" fontId="6" fillId="0" borderId="0" xfId="0" applyNumberFormat="1" applyFont="1" applyAlignment="1">
      <alignment horizontal="centerContinuous"/>
    </xf>
    <xf numFmtId="172" fontId="38" fillId="0" borderId="15" xfId="0" applyNumberFormat="1" applyFont="1" applyBorder="1" applyAlignment="1">
      <alignment horizontal="center" shrinkToFit="1"/>
    </xf>
    <xf numFmtId="177" fontId="0" fillId="0" borderId="0" xfId="0" applyNumberFormat="1"/>
    <xf numFmtId="188" fontId="0" fillId="16" borderId="0" xfId="0" applyNumberFormat="1" applyFill="1"/>
    <xf numFmtId="0" fontId="6" fillId="0" borderId="0" xfId="0" applyFont="1" applyAlignment="1">
      <alignment horizontal="left"/>
    </xf>
    <xf numFmtId="0" fontId="0" fillId="0" borderId="15" xfId="0" applyBorder="1" applyAlignment="1">
      <alignment horizontal="center"/>
    </xf>
    <xf numFmtId="0" fontId="0" fillId="23" borderId="0" xfId="0" applyFill="1"/>
    <xf numFmtId="0" fontId="0" fillId="0" borderId="12" xfId="0" applyBorder="1" applyAlignment="1">
      <alignment horizontal="center"/>
    </xf>
    <xf numFmtId="2" fontId="7" fillId="0" borderId="55" xfId="0" applyNumberFormat="1" applyFont="1" applyBorder="1" applyAlignment="1">
      <alignment horizontal="center" shrinkToFit="1"/>
    </xf>
    <xf numFmtId="2" fontId="7" fillId="0" borderId="13" xfId="0" applyNumberFormat="1" applyFont="1" applyBorder="1" applyAlignment="1">
      <alignment horizontal="center" shrinkToFit="1"/>
    </xf>
    <xf numFmtId="2" fontId="7" fillId="0" borderId="14" xfId="0" applyNumberFormat="1" applyFont="1" applyBorder="1" applyAlignment="1">
      <alignment horizontal="center" shrinkToFit="1"/>
    </xf>
    <xf numFmtId="1" fontId="7" fillId="0" borderId="36" xfId="0" applyNumberFormat="1" applyFont="1" applyBorder="1" applyAlignment="1">
      <alignment horizontal="center" vertical="center" wrapText="1"/>
    </xf>
    <xf numFmtId="0" fontId="0" fillId="0" borderId="43" xfId="0" applyBorder="1" applyAlignment="1">
      <alignment horizontal="center" wrapText="1"/>
    </xf>
    <xf numFmtId="0" fontId="0" fillId="0" borderId="43" xfId="0" applyBorder="1" applyAlignment="1">
      <alignment horizontal="center" vertical="center" wrapText="1"/>
    </xf>
    <xf numFmtId="17" fontId="7" fillId="0" borderId="22" xfId="0" applyNumberFormat="1" applyFont="1" applyBorder="1" applyAlignment="1">
      <alignment horizontal="center" wrapText="1"/>
    </xf>
    <xf numFmtId="1" fontId="0" fillId="0" borderId="4" xfId="0" applyNumberFormat="1" applyBorder="1" applyAlignment="1">
      <alignment horizontal="center" shrinkToFit="1"/>
    </xf>
    <xf numFmtId="164" fontId="3" fillId="20" borderId="5" xfId="2" applyNumberFormat="1" applyFont="1" applyFill="1" applyBorder="1" applyAlignment="1" applyProtection="1">
      <alignment horizontal="center" shrinkToFit="1"/>
    </xf>
    <xf numFmtId="164" fontId="3" fillId="20" borderId="23" xfId="2" applyNumberFormat="1" applyFont="1" applyFill="1" applyBorder="1" applyAlignment="1" applyProtection="1">
      <alignment horizontal="center" shrinkToFit="1"/>
    </xf>
    <xf numFmtId="17" fontId="7" fillId="0" borderId="12" xfId="0" applyNumberFormat="1" applyFont="1" applyBorder="1" applyAlignment="1">
      <alignment horizontal="center" wrapText="1"/>
    </xf>
    <xf numFmtId="1" fontId="0" fillId="0" borderId="44" xfId="0" applyNumberFormat="1" applyBorder="1" applyAlignment="1">
      <alignment horizontal="center" shrinkToFit="1"/>
    </xf>
    <xf numFmtId="164" fontId="3" fillId="20" borderId="49" xfId="2" applyNumberFormat="1" applyFont="1" applyFill="1" applyBorder="1" applyAlignment="1" applyProtection="1">
      <alignment horizontal="center" shrinkToFit="1"/>
    </xf>
    <xf numFmtId="164" fontId="3" fillId="20" borderId="20" xfId="2" applyNumberFormat="1" applyFont="1" applyFill="1" applyBorder="1" applyAlignment="1" applyProtection="1">
      <alignment horizontal="center" shrinkToFit="1"/>
    </xf>
    <xf numFmtId="0" fontId="0" fillId="0" borderId="16" xfId="0" applyBorder="1"/>
    <xf numFmtId="17" fontId="7" fillId="0" borderId="15" xfId="0" applyNumberFormat="1" applyFont="1" applyBorder="1" applyAlignment="1">
      <alignment horizontal="center" wrapText="1"/>
    </xf>
    <xf numFmtId="1" fontId="0" fillId="0" borderId="53" xfId="0" applyNumberFormat="1" applyBorder="1" applyAlignment="1">
      <alignment horizontal="center" shrinkToFit="1"/>
    </xf>
    <xf numFmtId="164" fontId="3" fillId="20" borderId="54" xfId="2" applyNumberFormat="1" applyFont="1" applyFill="1" applyBorder="1" applyAlignment="1" applyProtection="1">
      <alignment horizontal="center" shrinkToFit="1"/>
    </xf>
    <xf numFmtId="167" fontId="1" fillId="9" borderId="16" xfId="2" applyNumberFormat="1" applyFont="1" applyFill="1" applyBorder="1" applyAlignment="1" applyProtection="1">
      <alignment horizontal="center" shrinkToFit="1"/>
    </xf>
    <xf numFmtId="1" fontId="0" fillId="0" borderId="16" xfId="0" applyNumberFormat="1" applyBorder="1" applyAlignment="1">
      <alignment horizontal="center" shrinkToFit="1"/>
    </xf>
    <xf numFmtId="164" fontId="3" fillId="20" borderId="17" xfId="2" applyNumberFormat="1" applyFont="1" applyFill="1" applyBorder="1" applyAlignment="1" applyProtection="1">
      <alignment horizontal="center" shrinkToFit="1"/>
    </xf>
    <xf numFmtId="167" fontId="1" fillId="9" borderId="0" xfId="2" applyNumberFormat="1" applyFont="1" applyFill="1" applyBorder="1" applyAlignment="1" applyProtection="1">
      <alignment horizontal="center" shrinkToFit="1"/>
    </xf>
    <xf numFmtId="1" fontId="0" fillId="0" borderId="0" xfId="0" applyNumberFormat="1" applyAlignment="1">
      <alignment horizontal="center" shrinkToFit="1"/>
    </xf>
    <xf numFmtId="167" fontId="1" fillId="9" borderId="19" xfId="2" applyNumberFormat="1" applyFont="1" applyFill="1" applyBorder="1" applyAlignment="1" applyProtection="1">
      <alignment horizontal="center" shrinkToFit="1"/>
    </xf>
    <xf numFmtId="1" fontId="0" fillId="0" borderId="19" xfId="0" applyNumberFormat="1" applyBorder="1" applyAlignment="1">
      <alignment horizontal="center" shrinkToFit="1"/>
    </xf>
    <xf numFmtId="17" fontId="0" fillId="0" borderId="0" xfId="0" applyNumberFormat="1" applyAlignment="1">
      <alignment horizontal="left"/>
    </xf>
    <xf numFmtId="164" fontId="0" fillId="0" borderId="0" xfId="2" applyNumberFormat="1" applyFont="1" applyFill="1" applyBorder="1" applyAlignment="1" applyProtection="1">
      <alignment horizontal="center"/>
    </xf>
    <xf numFmtId="165" fontId="0" fillId="0" borderId="0" xfId="2" applyNumberFormat="1" applyFont="1" applyFill="1" applyBorder="1" applyAlignment="1" applyProtection="1">
      <alignment horizontal="center"/>
    </xf>
    <xf numFmtId="17" fontId="14" fillId="0" borderId="63" xfId="0" applyNumberFormat="1" applyFont="1" applyBorder="1" applyAlignment="1">
      <alignment horizontal="center" wrapText="1"/>
    </xf>
    <xf numFmtId="1" fontId="14" fillId="0" borderId="76" xfId="0" applyNumberFormat="1" applyFont="1" applyBorder="1" applyAlignment="1">
      <alignment horizontal="center" shrinkToFit="1"/>
    </xf>
    <xf numFmtId="164" fontId="7" fillId="20" borderId="77" xfId="2" applyNumberFormat="1" applyFont="1" applyFill="1" applyBorder="1" applyAlignment="1" applyProtection="1">
      <alignment horizontal="center" shrinkToFit="1"/>
    </xf>
    <xf numFmtId="164" fontId="7" fillId="20" borderId="78" xfId="2" applyNumberFormat="1" applyFont="1" applyFill="1" applyBorder="1" applyAlignment="1" applyProtection="1">
      <alignment horizontal="center" shrinkToFit="1"/>
    </xf>
    <xf numFmtId="0" fontId="7" fillId="23" borderId="0" xfId="0" applyFont="1" applyFill="1"/>
    <xf numFmtId="17" fontId="14" fillId="0" borderId="64" xfId="0" applyNumberFormat="1" applyFont="1" applyBorder="1" applyAlignment="1">
      <alignment horizontal="center" wrapText="1"/>
    </xf>
    <xf numFmtId="1" fontId="14" fillId="0" borderId="70" xfId="0" applyNumberFormat="1" applyFont="1" applyBorder="1" applyAlignment="1">
      <alignment horizontal="center" shrinkToFit="1"/>
    </xf>
    <xf numFmtId="164" fontId="7" fillId="20" borderId="71" xfId="2" applyNumberFormat="1" applyFont="1" applyFill="1" applyBorder="1" applyAlignment="1" applyProtection="1">
      <alignment horizontal="center" shrinkToFit="1"/>
    </xf>
    <xf numFmtId="164" fontId="7" fillId="20" borderId="72" xfId="2" applyNumberFormat="1" applyFont="1" applyFill="1" applyBorder="1" applyAlignment="1" applyProtection="1">
      <alignment horizontal="center" shrinkToFit="1"/>
    </xf>
    <xf numFmtId="17" fontId="14" fillId="0" borderId="65" xfId="0" applyNumberFormat="1" applyFont="1" applyBorder="1" applyAlignment="1">
      <alignment horizontal="center" wrapText="1"/>
    </xf>
    <xf numFmtId="1" fontId="14" fillId="0" borderId="73" xfId="0" applyNumberFormat="1" applyFont="1" applyBorder="1" applyAlignment="1">
      <alignment horizontal="center" shrinkToFit="1"/>
    </xf>
    <xf numFmtId="164" fontId="7" fillId="20" borderId="74" xfId="2" applyNumberFormat="1" applyFont="1" applyFill="1" applyBorder="1" applyAlignment="1" applyProtection="1">
      <alignment horizontal="center" shrinkToFit="1"/>
    </xf>
    <xf numFmtId="164" fontId="7" fillId="20" borderId="75" xfId="2" applyNumberFormat="1" applyFont="1" applyFill="1" applyBorder="1" applyAlignment="1" applyProtection="1">
      <alignment horizontal="center" shrinkToFit="1"/>
    </xf>
    <xf numFmtId="17" fontId="14" fillId="0" borderId="66" xfId="0" applyNumberFormat="1" applyFont="1" applyBorder="1" applyAlignment="1">
      <alignment horizontal="center" wrapText="1"/>
    </xf>
    <xf numFmtId="1" fontId="14" fillId="0" borderId="67" xfId="0" applyNumberFormat="1" applyFont="1" applyBorder="1" applyAlignment="1">
      <alignment horizontal="center" shrinkToFit="1"/>
    </xf>
    <xf numFmtId="164" fontId="7" fillId="20" borderId="68" xfId="2" applyNumberFormat="1" applyFont="1" applyFill="1" applyBorder="1" applyAlignment="1" applyProtection="1">
      <alignment horizontal="center" shrinkToFit="1"/>
    </xf>
    <xf numFmtId="167" fontId="7" fillId="9" borderId="98" xfId="2" applyNumberFormat="1" applyFont="1" applyFill="1" applyBorder="1" applyAlignment="1" applyProtection="1">
      <alignment horizontal="center" shrinkToFit="1"/>
    </xf>
    <xf numFmtId="164" fontId="7" fillId="20" borderId="69" xfId="2" applyNumberFormat="1" applyFont="1" applyFill="1" applyBorder="1" applyAlignment="1" applyProtection="1">
      <alignment horizontal="center" shrinkToFit="1"/>
    </xf>
    <xf numFmtId="167" fontId="7" fillId="9" borderId="96" xfId="2" applyNumberFormat="1" applyFont="1" applyFill="1" applyBorder="1" applyAlignment="1" applyProtection="1">
      <alignment horizontal="center" shrinkToFit="1"/>
    </xf>
    <xf numFmtId="167" fontId="7" fillId="9" borderId="97" xfId="2" applyNumberFormat="1" applyFont="1" applyFill="1" applyBorder="1" applyAlignment="1" applyProtection="1">
      <alignment horizontal="center" shrinkToFit="1"/>
    </xf>
    <xf numFmtId="0" fontId="16" fillId="0" borderId="0" xfId="0" applyFont="1"/>
    <xf numFmtId="172" fontId="34" fillId="0" borderId="45" xfId="0" applyNumberFormat="1" applyFont="1" applyBorder="1" applyAlignment="1">
      <alignment horizontal="center" vertical="center" wrapText="1" shrinkToFit="1"/>
    </xf>
    <xf numFmtId="1" fontId="34" fillId="0" borderId="46" xfId="0" applyNumberFormat="1" applyFont="1" applyBorder="1" applyAlignment="1">
      <alignment horizontal="center" vertical="center" wrapText="1"/>
    </xf>
    <xf numFmtId="164" fontId="35" fillId="20" borderId="51" xfId="2" applyNumberFormat="1" applyFont="1" applyFill="1" applyBorder="1" applyAlignment="1" applyProtection="1">
      <alignment horizontal="center" vertical="center" shrinkToFit="1"/>
    </xf>
    <xf numFmtId="164" fontId="35" fillId="20" borderId="52" xfId="2" applyNumberFormat="1" applyFont="1" applyFill="1" applyBorder="1" applyAlignment="1" applyProtection="1">
      <alignment horizontal="center" vertical="center" shrinkToFit="1"/>
    </xf>
    <xf numFmtId="186" fontId="7" fillId="16" borderId="0" xfId="0" applyNumberFormat="1" applyFont="1" applyFill="1"/>
    <xf numFmtId="0" fontId="16" fillId="16" borderId="0" xfId="0" applyFont="1" applyFill="1"/>
    <xf numFmtId="172" fontId="34" fillId="0" borderId="12" xfId="0" applyNumberFormat="1" applyFont="1" applyBorder="1" applyAlignment="1">
      <alignment horizontal="center" vertical="center" wrapText="1" shrinkToFit="1"/>
    </xf>
    <xf numFmtId="1" fontId="34" fillId="0" borderId="44" xfId="0" applyNumberFormat="1" applyFont="1" applyBorder="1" applyAlignment="1">
      <alignment horizontal="center" vertical="center" wrapText="1"/>
    </xf>
    <xf numFmtId="164" fontId="35" fillId="20" borderId="49" xfId="2" applyNumberFormat="1" applyFont="1" applyFill="1" applyBorder="1" applyAlignment="1" applyProtection="1">
      <alignment horizontal="center" vertical="center" shrinkToFit="1"/>
    </xf>
    <xf numFmtId="167" fontId="35" fillId="9" borderId="19" xfId="2" applyNumberFormat="1" applyFont="1" applyFill="1" applyBorder="1" applyAlignment="1" applyProtection="1">
      <alignment horizontal="center" vertical="center" shrinkToFit="1"/>
    </xf>
    <xf numFmtId="164" fontId="35" fillId="20" borderId="20" xfId="2" applyNumberFormat="1" applyFont="1" applyFill="1" applyBorder="1" applyAlignment="1" applyProtection="1">
      <alignment horizontal="center" vertical="center" shrinkToFit="1"/>
    </xf>
    <xf numFmtId="180" fontId="0" fillId="16" borderId="0" xfId="0" applyNumberFormat="1" applyFill="1"/>
    <xf numFmtId="174" fontId="7" fillId="0" borderId="59" xfId="11" applyNumberFormat="1" applyFont="1" applyFill="1" applyBorder="1" applyAlignment="1" applyProtection="1">
      <alignment horizontal="center" shrinkToFit="1"/>
    </xf>
    <xf numFmtId="1" fontId="7" fillId="0" borderId="10" xfId="0" quotePrefix="1" applyNumberFormat="1" applyFont="1" applyBorder="1" applyAlignment="1">
      <alignment horizontal="center" shrinkToFit="1"/>
    </xf>
    <xf numFmtId="1" fontId="7" fillId="0" borderId="0" xfId="0" quotePrefix="1" applyNumberFormat="1" applyFont="1" applyAlignment="1">
      <alignment horizontal="center" shrinkToFit="1"/>
    </xf>
    <xf numFmtId="174" fontId="7" fillId="0" borderId="60" xfId="11" applyNumberFormat="1" applyFont="1" applyFill="1" applyBorder="1" applyAlignment="1" applyProtection="1">
      <alignment horizontal="center" shrinkToFit="1"/>
    </xf>
    <xf numFmtId="1" fontId="7" fillId="0" borderId="11" xfId="0" quotePrefix="1" applyNumberFormat="1" applyFont="1" applyBorder="1" applyAlignment="1">
      <alignment horizontal="center" shrinkToFit="1"/>
    </xf>
    <xf numFmtId="1" fontId="7" fillId="0" borderId="22" xfId="0" applyNumberFormat="1" applyFont="1" applyBorder="1" applyAlignment="1">
      <alignment horizontal="center" shrinkToFit="1"/>
    </xf>
    <xf numFmtId="168" fontId="0" fillId="0" borderId="0" xfId="0" applyNumberFormat="1" applyAlignment="1">
      <alignment horizontal="center" shrinkToFit="1"/>
    </xf>
    <xf numFmtId="17" fontId="7" fillId="0" borderId="0" xfId="0" applyNumberFormat="1" applyFont="1" applyAlignment="1">
      <alignment horizontal="left"/>
    </xf>
    <xf numFmtId="164" fontId="7" fillId="0" borderId="0" xfId="2" applyNumberFormat="1" applyFont="1" applyFill="1" applyBorder="1" applyAlignment="1" applyProtection="1">
      <alignment horizontal="center"/>
    </xf>
    <xf numFmtId="166" fontId="7" fillId="0" borderId="0" xfId="11" applyNumberFormat="1" applyFont="1" applyFill="1" applyBorder="1" applyAlignment="1" applyProtection="1">
      <alignment horizontal="center"/>
    </xf>
    <xf numFmtId="1" fontId="7" fillId="0" borderId="0" xfId="0" applyNumberFormat="1" applyFont="1" applyAlignment="1">
      <alignment horizontal="center"/>
    </xf>
    <xf numFmtId="1" fontId="7" fillId="0" borderId="12" xfId="0" applyNumberFormat="1" applyFont="1" applyBorder="1" applyAlignment="1">
      <alignment horizontal="center" shrinkToFit="1"/>
    </xf>
    <xf numFmtId="168" fontId="0" fillId="0" borderId="19" xfId="0" applyNumberFormat="1" applyBorder="1" applyAlignment="1">
      <alignment horizontal="center" shrinkToFit="1"/>
    </xf>
    <xf numFmtId="1" fontId="35" fillId="17" borderId="0" xfId="0" applyNumberFormat="1" applyFont="1" applyFill="1" applyAlignment="1">
      <alignment horizontal="right"/>
    </xf>
    <xf numFmtId="2" fontId="0" fillId="17" borderId="0" xfId="0" applyNumberFormat="1" applyFill="1"/>
    <xf numFmtId="0" fontId="0" fillId="17" borderId="0" xfId="0" applyFill="1"/>
    <xf numFmtId="177" fontId="0" fillId="17" borderId="0" xfId="0" applyNumberFormat="1" applyFill="1"/>
    <xf numFmtId="1" fontId="7" fillId="17" borderId="0" xfId="0" applyNumberFormat="1" applyFont="1" applyFill="1" applyAlignment="1">
      <alignment horizontal="center"/>
    </xf>
    <xf numFmtId="172" fontId="34" fillId="0" borderId="19" xfId="0" applyNumberFormat="1" applyFont="1" applyBorder="1" applyAlignment="1">
      <alignment horizontal="center" vertical="center" wrapText="1" shrinkToFit="1"/>
    </xf>
    <xf numFmtId="164" fontId="7" fillId="0" borderId="1" xfId="2" applyNumberFormat="1" applyFont="1" applyFill="1" applyBorder="1" applyAlignment="1" applyProtection="1">
      <alignment horizontal="centerContinuous" vertical="center"/>
    </xf>
    <xf numFmtId="1" fontId="0" fillId="0" borderId="3" xfId="0" applyNumberFormat="1" applyBorder="1" applyAlignment="1">
      <alignment horizontal="centerContinuous"/>
    </xf>
    <xf numFmtId="172" fontId="34" fillId="0" borderId="19" xfId="0" applyNumberFormat="1" applyFont="1" applyBorder="1" applyAlignment="1">
      <alignment horizontal="centerContinuous" vertical="center" wrapText="1" shrinkToFit="1"/>
    </xf>
    <xf numFmtId="0" fontId="0" fillId="0" borderId="42" xfId="0" applyBorder="1" applyAlignment="1">
      <alignment vertical="center"/>
    </xf>
    <xf numFmtId="1" fontId="35" fillId="0" borderId="61" xfId="0" applyNumberFormat="1" applyFont="1" applyBorder="1" applyAlignment="1">
      <alignment horizontal="right" vertical="center"/>
    </xf>
    <xf numFmtId="2" fontId="0" fillId="0" borderId="43" xfId="0" applyNumberFormat="1" applyBorder="1" applyAlignment="1">
      <alignment horizontal="right" vertical="center" wrapText="1"/>
    </xf>
    <xf numFmtId="0" fontId="0" fillId="0" borderId="47" xfId="0" applyBorder="1" applyAlignment="1">
      <alignment horizontal="center"/>
    </xf>
    <xf numFmtId="177" fontId="0" fillId="0" borderId="43" xfId="0" applyNumberFormat="1" applyBorder="1" applyAlignment="1">
      <alignment horizontal="right" vertical="center" shrinkToFit="1"/>
    </xf>
    <xf numFmtId="0" fontId="0" fillId="0" borderId="48" xfId="0" applyBorder="1" applyAlignment="1">
      <alignment horizontal="left" vertical="center" shrinkToFit="1"/>
    </xf>
    <xf numFmtId="0" fontId="0" fillId="0" borderId="42" xfId="0" applyBorder="1"/>
    <xf numFmtId="0" fontId="0" fillId="0" borderId="47" xfId="0" applyBorder="1" applyAlignment="1">
      <alignment horizontal="left" vertical="center" shrinkToFit="1"/>
    </xf>
    <xf numFmtId="177" fontId="0" fillId="0" borderId="43" xfId="0" applyNumberFormat="1" applyBorder="1" applyAlignment="1">
      <alignment horizontal="right" vertical="center" wrapText="1"/>
    </xf>
    <xf numFmtId="0" fontId="0" fillId="0" borderId="12" xfId="0" applyBorder="1"/>
    <xf numFmtId="1" fontId="35" fillId="0" borderId="12" xfId="0" applyNumberFormat="1" applyFont="1" applyBorder="1" applyAlignment="1">
      <alignment horizontal="right"/>
    </xf>
    <xf numFmtId="2" fontId="0" fillId="0" borderId="44" xfId="0" applyNumberFormat="1" applyBorder="1"/>
    <xf numFmtId="0" fontId="0" fillId="0" borderId="49" xfId="0" applyBorder="1" applyAlignment="1">
      <alignment horizontal="center"/>
    </xf>
    <xf numFmtId="177" fontId="0" fillId="0" borderId="44" xfId="0" applyNumberFormat="1" applyBorder="1"/>
    <xf numFmtId="0" fontId="0" fillId="0" borderId="20" xfId="0" applyBorder="1"/>
    <xf numFmtId="0" fontId="0" fillId="0" borderId="49" xfId="0" applyBorder="1"/>
    <xf numFmtId="1" fontId="35" fillId="0" borderId="0" xfId="0" applyNumberFormat="1" applyFont="1" applyAlignment="1">
      <alignment horizontal="right"/>
    </xf>
    <xf numFmtId="2" fontId="7" fillId="0" borderId="83" xfId="0" applyNumberFormat="1" applyFont="1" applyBorder="1" applyAlignment="1">
      <alignment horizontal="center" shrinkToFit="1"/>
    </xf>
    <xf numFmtId="0" fontId="28" fillId="21" borderId="84" xfId="0" applyFont="1" applyFill="1" applyBorder="1" applyAlignment="1">
      <alignment horizontal="center" vertical="center" wrapText="1"/>
    </xf>
    <xf numFmtId="167" fontId="35" fillId="9" borderId="99" xfId="2" applyNumberFormat="1" applyFont="1" applyFill="1" applyBorder="1" applyAlignment="1" applyProtection="1">
      <alignment horizontal="center" vertical="center" shrinkToFit="1"/>
    </xf>
    <xf numFmtId="1" fontId="2" fillId="6" borderId="0" xfId="0" applyNumberFormat="1" applyFont="1" applyFill="1" applyAlignment="1">
      <alignment horizontal="centerContinuous"/>
    </xf>
    <xf numFmtId="17" fontId="38" fillId="25" borderId="22" xfId="0" applyNumberFormat="1" applyFont="1" applyFill="1" applyBorder="1" applyAlignment="1">
      <alignment horizontal="center"/>
    </xf>
    <xf numFmtId="167" fontId="3" fillId="0" borderId="0" xfId="2" applyNumberFormat="1" applyFont="1" applyFill="1" applyBorder="1" applyAlignment="1">
      <alignment horizontal="center" shrinkToFit="1"/>
    </xf>
    <xf numFmtId="167" fontId="0" fillId="0" borderId="0" xfId="2" applyNumberFormat="1" applyFont="1" applyFill="1" applyBorder="1" applyAlignment="1">
      <alignment horizontal="center" shrinkToFit="1"/>
    </xf>
    <xf numFmtId="187" fontId="1" fillId="19" borderId="94" xfId="2" applyNumberFormat="1" applyFont="1" applyFill="1" applyBorder="1" applyAlignment="1">
      <alignment horizontal="right" shrinkToFit="1"/>
    </xf>
    <xf numFmtId="187" fontId="1" fillId="0" borderId="94" xfId="2" applyNumberFormat="1" applyFont="1" applyFill="1" applyBorder="1" applyAlignment="1">
      <alignment horizontal="right" shrinkToFit="1"/>
    </xf>
    <xf numFmtId="167" fontId="3" fillId="0" borderId="89" xfId="2" applyNumberFormat="1" applyFont="1" applyFill="1" applyBorder="1" applyAlignment="1">
      <alignment horizontal="center" shrinkToFit="1"/>
    </xf>
    <xf numFmtId="0" fontId="55" fillId="0" borderId="7" xfId="0" applyFont="1" applyBorder="1"/>
    <xf numFmtId="189" fontId="16" fillId="16" borderId="0" xfId="0" applyNumberFormat="1" applyFont="1" applyFill="1"/>
    <xf numFmtId="190" fontId="1" fillId="0" borderId="94" xfId="2" applyNumberFormat="1" applyFont="1" applyFill="1" applyBorder="1" applyAlignment="1">
      <alignment horizontal="right" shrinkToFit="1"/>
    </xf>
    <xf numFmtId="172" fontId="38" fillId="0" borderId="36" xfId="0" applyNumberFormat="1" applyFont="1" applyBorder="1" applyAlignment="1">
      <alignment horizontal="center" shrinkToFit="1"/>
    </xf>
    <xf numFmtId="169" fontId="17" fillId="10" borderId="57" xfId="2" applyNumberFormat="1" applyFont="1" applyFill="1" applyBorder="1" applyAlignment="1" applyProtection="1">
      <alignment horizontal="center" shrinkToFit="1"/>
      <protection locked="0"/>
    </xf>
    <xf numFmtId="178" fontId="17" fillId="10" borderId="37" xfId="2" applyNumberFormat="1" applyFont="1" applyFill="1" applyBorder="1" applyAlignment="1" applyProtection="1">
      <alignment shrinkToFit="1"/>
      <protection locked="0"/>
    </xf>
    <xf numFmtId="0" fontId="57" fillId="0" borderId="0" xfId="0" applyFont="1"/>
    <xf numFmtId="0" fontId="58" fillId="0" borderId="0" xfId="14" applyFont="1"/>
    <xf numFmtId="168" fontId="40" fillId="0" borderId="0" xfId="0" applyNumberFormat="1" applyFont="1" applyAlignment="1">
      <alignment horizontal="center"/>
    </xf>
    <xf numFmtId="187" fontId="1" fillId="24" borderId="5" xfId="2" applyNumberFormat="1" applyFont="1" applyFill="1" applyBorder="1" applyAlignment="1" applyProtection="1">
      <alignment horizontal="left" indent="3" shrinkToFit="1"/>
    </xf>
    <xf numFmtId="187" fontId="7" fillId="24" borderId="5" xfId="2" applyNumberFormat="1" applyFont="1" applyFill="1" applyBorder="1" applyAlignment="1">
      <alignment horizontal="left" indent="3" shrinkToFit="1"/>
    </xf>
    <xf numFmtId="187" fontId="7" fillId="24" borderId="8" xfId="2" applyNumberFormat="1" applyFont="1" applyFill="1" applyBorder="1" applyAlignment="1">
      <alignment horizontal="left" indent="3" shrinkToFit="1"/>
    </xf>
    <xf numFmtId="187" fontId="7" fillId="24" borderId="51" xfId="2" applyNumberFormat="1" applyFont="1" applyFill="1" applyBorder="1" applyAlignment="1">
      <alignment horizontal="left" indent="3" shrinkToFit="1"/>
    </xf>
    <xf numFmtId="17" fontId="7" fillId="17" borderId="0" xfId="0" applyNumberFormat="1" applyFont="1" applyFill="1" applyAlignment="1">
      <alignment horizontal="left"/>
    </xf>
    <xf numFmtId="0" fontId="16" fillId="0" borderId="0" xfId="0" applyFont="1" applyAlignment="1">
      <alignment horizontal="left"/>
    </xf>
    <xf numFmtId="185" fontId="0" fillId="0" borderId="50" xfId="0" applyNumberFormat="1" applyBorder="1" applyAlignment="1">
      <alignment horizontal="right" indent="2"/>
    </xf>
    <xf numFmtId="185" fontId="0" fillId="0" borderId="92" xfId="0" applyNumberFormat="1" applyBorder="1" applyAlignment="1">
      <alignment horizontal="right" indent="2"/>
    </xf>
    <xf numFmtId="1" fontId="16" fillId="0" borderId="88" xfId="0" applyNumberFormat="1" applyFont="1" applyBorder="1" applyAlignment="1">
      <alignment horizontal="center" vertical="center" wrapText="1"/>
    </xf>
    <xf numFmtId="185" fontId="0" fillId="0" borderId="9" xfId="0" applyNumberFormat="1" applyBorder="1" applyAlignment="1">
      <alignment horizontal="right" indent="2"/>
    </xf>
    <xf numFmtId="185" fontId="0" fillId="0" borderId="82" xfId="0" applyNumberFormat="1" applyBorder="1" applyAlignment="1">
      <alignment horizontal="right" indent="2"/>
    </xf>
    <xf numFmtId="2" fontId="37" fillId="26" borderId="0" xfId="0" applyNumberFormat="1" applyFont="1" applyFill="1" applyAlignment="1">
      <alignment horizontal="center"/>
    </xf>
    <xf numFmtId="2" fontId="45" fillId="26" borderId="37" xfId="0" applyNumberFormat="1" applyFont="1" applyFill="1" applyBorder="1" applyAlignment="1">
      <alignment horizontal="center"/>
    </xf>
    <xf numFmtId="17" fontId="7" fillId="0" borderId="103" xfId="0" applyNumberFormat="1" applyFont="1" applyBorder="1" applyAlignment="1">
      <alignment horizontal="center" wrapText="1"/>
    </xf>
    <xf numFmtId="185" fontId="0" fillId="0" borderId="104" xfId="0" applyNumberFormat="1" applyBorder="1" applyAlignment="1">
      <alignment horizontal="right" indent="2"/>
    </xf>
    <xf numFmtId="167" fontId="3" fillId="0" borderId="105" xfId="2" applyNumberFormat="1" applyFont="1" applyFill="1" applyBorder="1" applyAlignment="1">
      <alignment horizontal="center" shrinkToFit="1"/>
    </xf>
    <xf numFmtId="167" fontId="3" fillId="0" borderId="11" xfId="2" applyNumberFormat="1" applyFont="1" applyFill="1" applyBorder="1" applyAlignment="1">
      <alignment horizontal="center" shrinkToFit="1"/>
    </xf>
    <xf numFmtId="0" fontId="4" fillId="0" borderId="0" xfId="0" applyFont="1" applyAlignment="1">
      <alignment horizontal="center"/>
    </xf>
    <xf numFmtId="0" fontId="5" fillId="0" borderId="0" xfId="0" applyFont="1" applyAlignment="1">
      <alignment horizontal="center"/>
    </xf>
    <xf numFmtId="0" fontId="0" fillId="0" borderId="0" xfId="0" applyAlignment="1">
      <alignment horizontal="center"/>
    </xf>
    <xf numFmtId="0" fontId="4" fillId="0" borderId="0" xfId="0" applyFont="1" applyAlignment="1">
      <alignment horizontal="left"/>
    </xf>
    <xf numFmtId="0" fontId="5" fillId="0" borderId="0" xfId="0" applyFont="1" applyAlignment="1">
      <alignment horizontal="left"/>
    </xf>
    <xf numFmtId="0" fontId="54" fillId="22" borderId="0" xfId="0" applyFont="1" applyFill="1" applyAlignment="1">
      <alignment horizontal="left" shrinkToFit="1"/>
    </xf>
    <xf numFmtId="2" fontId="7" fillId="0" borderId="36" xfId="0" applyNumberFormat="1" applyFont="1" applyBorder="1" applyAlignment="1">
      <alignment horizontal="center" shrinkToFit="1"/>
    </xf>
    <xf numFmtId="2" fontId="7" fillId="0" borderId="37" xfId="0" applyNumberFormat="1" applyFont="1" applyBorder="1" applyAlignment="1">
      <alignment horizontal="center" shrinkToFit="1"/>
    </xf>
    <xf numFmtId="2" fontId="7" fillId="0" borderId="38" xfId="0" applyNumberFormat="1" applyFont="1" applyBorder="1" applyAlignment="1">
      <alignment horizontal="center" shrinkToFit="1"/>
    </xf>
    <xf numFmtId="17" fontId="7" fillId="0" borderId="0" xfId="0" applyNumberFormat="1" applyFont="1" applyAlignment="1">
      <alignment horizontal="right" shrinkToFit="1"/>
    </xf>
    <xf numFmtId="17" fontId="7" fillId="0" borderId="23" xfId="0" applyNumberFormat="1" applyFont="1" applyBorder="1" applyAlignment="1">
      <alignment horizontal="right" shrinkToFit="1"/>
    </xf>
    <xf numFmtId="2" fontId="0" fillId="0" borderId="23" xfId="0" applyNumberFormat="1" applyBorder="1" applyAlignment="1">
      <alignment horizontal="center" shrinkToFit="1"/>
    </xf>
    <xf numFmtId="2" fontId="0" fillId="0" borderId="19" xfId="0" applyNumberFormat="1" applyBorder="1" applyAlignment="1">
      <alignment horizontal="center" shrinkToFit="1"/>
    </xf>
    <xf numFmtId="2" fontId="0" fillId="0" borderId="20" xfId="0" applyNumberFormat="1" applyBorder="1" applyAlignment="1">
      <alignment horizontal="center" shrinkToFit="1"/>
    </xf>
    <xf numFmtId="0" fontId="7" fillId="0" borderId="62" xfId="0" applyFont="1" applyBorder="1" applyAlignment="1">
      <alignment horizontal="center" shrinkToFit="1"/>
    </xf>
    <xf numFmtId="0" fontId="7" fillId="0" borderId="10" xfId="0" applyFont="1" applyBorder="1" applyAlignment="1">
      <alignment horizontal="center" shrinkToFit="1"/>
    </xf>
    <xf numFmtId="0" fontId="0" fillId="21" borderId="16" xfId="0" applyFill="1" applyBorder="1" applyAlignment="1">
      <alignment horizontal="left" vertical="top" wrapText="1"/>
    </xf>
    <xf numFmtId="0" fontId="0" fillId="21" borderId="0" xfId="0" applyFill="1" applyAlignment="1">
      <alignment horizontal="left" vertical="top" wrapText="1"/>
    </xf>
    <xf numFmtId="0" fontId="0" fillId="24" borderId="0" xfId="0" applyFill="1" applyAlignment="1">
      <alignment horizontal="left" vertical="top" wrapText="1"/>
    </xf>
    <xf numFmtId="0" fontId="7" fillId="0" borderId="85" xfId="0" applyFont="1" applyBorder="1" applyAlignment="1">
      <alignment horizontal="center" shrinkToFit="1"/>
    </xf>
    <xf numFmtId="0" fontId="7" fillId="0" borderId="86" xfId="0" applyFont="1" applyBorder="1" applyAlignment="1">
      <alignment horizontal="center" shrinkToFit="1"/>
    </xf>
    <xf numFmtId="0" fontId="43" fillId="24" borderId="0" xfId="0" applyFont="1" applyFill="1" applyAlignment="1">
      <alignment horizontal="left" wrapText="1"/>
    </xf>
    <xf numFmtId="1" fontId="16" fillId="0" borderId="101" xfId="0" applyNumberFormat="1" applyFont="1" applyBorder="1" applyAlignment="1">
      <alignment horizontal="center" vertical="center" wrapText="1"/>
    </xf>
    <xf numFmtId="1" fontId="16" fillId="0" borderId="102" xfId="0" applyNumberFormat="1" applyFont="1" applyBorder="1" applyAlignment="1">
      <alignment horizontal="center" vertical="center" wrapText="1"/>
    </xf>
    <xf numFmtId="1" fontId="16" fillId="0" borderId="100" xfId="0" applyNumberFormat="1" applyFont="1" applyBorder="1" applyAlignment="1">
      <alignment horizontal="center" vertical="center" wrapText="1"/>
    </xf>
    <xf numFmtId="1" fontId="16" fillId="0" borderId="42" xfId="0" applyNumberFormat="1" applyFont="1" applyBorder="1" applyAlignment="1">
      <alignment horizontal="center" vertical="center" wrapText="1"/>
    </xf>
    <xf numFmtId="1" fontId="16" fillId="0" borderId="84" xfId="0" applyNumberFormat="1" applyFont="1" applyBorder="1" applyAlignment="1">
      <alignment horizontal="center" vertical="center" wrapText="1"/>
    </xf>
    <xf numFmtId="1" fontId="16" fillId="0" borderId="48" xfId="0" applyNumberFormat="1" applyFont="1" applyBorder="1" applyAlignment="1">
      <alignment horizontal="center" vertical="center" wrapText="1"/>
    </xf>
    <xf numFmtId="0" fontId="12" fillId="0" borderId="9" xfId="0" applyFont="1" applyBorder="1" applyAlignment="1">
      <alignment horizontal="center"/>
    </xf>
    <xf numFmtId="2" fontId="37" fillId="26" borderId="19" xfId="0" applyNumberFormat="1" applyFont="1" applyFill="1" applyBorder="1" applyAlignment="1">
      <alignment horizontal="center"/>
    </xf>
    <xf numFmtId="2" fontId="0" fillId="0" borderId="44" xfId="0" applyNumberFormat="1" applyBorder="1" applyProtection="1"/>
  </cellXfs>
  <cellStyles count="15">
    <cellStyle name="Lien hypertexte" xfId="14" builtinId="8"/>
    <cellStyle name="Lien hypertexte 2" xfId="1" xr:uid="{00000000-0005-0000-0000-000000000000}"/>
    <cellStyle name="Monétaire" xfId="2" builtinId="4"/>
    <cellStyle name="Monétaire 2" xfId="3" xr:uid="{00000000-0005-0000-0000-000002000000}"/>
    <cellStyle name="Monétaire 3" xfId="4" xr:uid="{00000000-0005-0000-0000-000003000000}"/>
    <cellStyle name="Normal" xfId="0" builtinId="0"/>
    <cellStyle name="Normal 2" xfId="5" xr:uid="{00000000-0005-0000-0000-000005000000}"/>
    <cellStyle name="Normal 2 2" xfId="6" xr:uid="{00000000-0005-0000-0000-000006000000}"/>
    <cellStyle name="Normal 2_Saisie" xfId="7" xr:uid="{00000000-0005-0000-0000-000007000000}"/>
    <cellStyle name="Normal 3" xfId="8" xr:uid="{00000000-0005-0000-0000-000008000000}"/>
    <cellStyle name="Normal 4" xfId="9" xr:uid="{00000000-0005-0000-0000-000009000000}"/>
    <cellStyle name="Normal 5" xfId="10" xr:uid="{00000000-0005-0000-0000-00000A000000}"/>
    <cellStyle name="Pourcentage" xfId="11" builtinId="5"/>
    <cellStyle name="Pourcentage 2" xfId="12" xr:uid="{00000000-0005-0000-0000-00000C000000}"/>
    <cellStyle name="Pourcentage 3" xfId="13" xr:uid="{00000000-0005-0000-0000-00000D000000}"/>
  </cellStyles>
  <dxfs count="0"/>
  <tableStyles count="1" defaultTableStyle="TableStyleMedium9" defaultPivotStyle="PivotStyleLight16">
    <tableStyle name="Invisible" pivot="0" table="0" count="0" xr9:uid="{69780CED-D5B3-49B0-B65E-7CA8809D2807}"/>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66FF"/>
      <color rgb="FF3333FF"/>
      <color rgb="FFFFFF99"/>
      <color rgb="FF0000FF"/>
      <color rgb="FF008000"/>
      <color rgb="FF00FF00"/>
      <color rgb="FFFFCCFF"/>
      <color rgb="FFCCD668"/>
      <color rgb="FFABDB77"/>
      <color rgb="FFBCE2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140</xdr:col>
      <xdr:colOff>457200</xdr:colOff>
      <xdr:row>715</xdr:row>
      <xdr:rowOff>95250</xdr:rowOff>
    </xdr:from>
    <xdr:to>
      <xdr:col>148</xdr:col>
      <xdr:colOff>352425</xdr:colOff>
      <xdr:row>719</xdr:row>
      <xdr:rowOff>28575</xdr:rowOff>
    </xdr:to>
    <xdr:pic>
      <xdr:nvPicPr>
        <xdr:cNvPr id="2" name="Picture 12">
          <a:extLst>
            <a:ext uri="{FF2B5EF4-FFF2-40B4-BE49-F238E27FC236}">
              <a16:creationId xmlns:a16="http://schemas.microsoft.com/office/drawing/2014/main" id="{CD87EF7B-0AC6-4EB7-807B-99D3D9C354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572" t="74150" r="34105" b="20091"/>
        <a:stretch>
          <a:fillRect/>
        </a:stretch>
      </xdr:blipFill>
      <xdr:spPr bwMode="auto">
        <a:xfrm>
          <a:off x="101831775" y="117290850"/>
          <a:ext cx="56864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19051</xdr:colOff>
      <xdr:row>0</xdr:row>
      <xdr:rowOff>19050</xdr:rowOff>
    </xdr:from>
    <xdr:to>
      <xdr:col>8</xdr:col>
      <xdr:colOff>745435</xdr:colOff>
      <xdr:row>1</xdr:row>
      <xdr:rowOff>127000</xdr:rowOff>
    </xdr:to>
    <xdr:grpSp>
      <xdr:nvGrpSpPr>
        <xdr:cNvPr id="3" name="Group 74">
          <a:extLst>
            <a:ext uri="{FF2B5EF4-FFF2-40B4-BE49-F238E27FC236}">
              <a16:creationId xmlns:a16="http://schemas.microsoft.com/office/drawing/2014/main" id="{8E1A831E-6239-4075-8546-02862FF3C90E}"/>
            </a:ext>
          </a:extLst>
        </xdr:cNvPr>
        <xdr:cNvGrpSpPr>
          <a:grpSpLocks/>
        </xdr:cNvGrpSpPr>
      </xdr:nvGrpSpPr>
      <xdr:grpSpPr bwMode="auto">
        <a:xfrm>
          <a:off x="19051" y="19050"/>
          <a:ext cx="6483717" cy="1653117"/>
          <a:chOff x="1" y="9"/>
          <a:chExt cx="720" cy="175"/>
        </a:xfrm>
      </xdr:grpSpPr>
      <xdr:pic>
        <xdr:nvPicPr>
          <xdr:cNvPr id="4" name="Image 21" descr="bandeau publication">
            <a:extLst>
              <a:ext uri="{FF2B5EF4-FFF2-40B4-BE49-F238E27FC236}">
                <a16:creationId xmlns:a16="http://schemas.microsoft.com/office/drawing/2014/main" id="{C4D94717-63C4-4025-95EF-79BFB99F59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9"/>
            <a:ext cx="720" cy="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solidFill>
                  <a:srgbClr val="000000"/>
                </a:solidFill>
                <a:miter lim="800000"/>
                <a:headEnd/>
                <a:tailEnd/>
              </a14:hiddenLine>
            </a:ext>
          </a:extLst>
        </xdr:spPr>
      </xdr:pic>
      <xdr:sp macro="" textlink="">
        <xdr:nvSpPr>
          <xdr:cNvPr id="5" name="Text Box 32">
            <a:extLst>
              <a:ext uri="{FF2B5EF4-FFF2-40B4-BE49-F238E27FC236}">
                <a16:creationId xmlns:a16="http://schemas.microsoft.com/office/drawing/2014/main" id="{D64B8618-B54B-49EE-BB40-1A7213255B83}"/>
              </a:ext>
            </a:extLst>
          </xdr:cNvPr>
          <xdr:cNvSpPr txBox="1">
            <a:spLocks noChangeArrowheads="1"/>
          </xdr:cNvSpPr>
        </xdr:nvSpPr>
        <xdr:spPr bwMode="auto">
          <a:xfrm>
            <a:off x="653" y="111"/>
            <a:ext cx="68" cy="73"/>
          </a:xfrm>
          <a:prstGeom prst="rect">
            <a:avLst/>
          </a:prstGeom>
          <a:noFill/>
          <a:ln>
            <a:noFill/>
          </a:ln>
          <a:effectLst/>
        </xdr:spPr>
        <xdr:txBody>
          <a:bodyPr vertOverflow="clip" wrap="square" lIns="36576" tIns="36576" rIns="36576" bIns="36576" anchor="t" upright="1"/>
          <a:lstStyle/>
          <a:p>
            <a:pPr algn="r" rtl="0">
              <a:lnSpc>
                <a:spcPts val="1400"/>
              </a:lnSpc>
              <a:defRPr sz="1000"/>
            </a:pPr>
            <a:r>
              <a:rPr lang="fr-CA" sz="1300" b="1" i="0" u="none" strike="noStrike" baseline="0">
                <a:solidFill>
                  <a:srgbClr val="339966"/>
                </a:solidFill>
                <a:latin typeface="+mn-lt"/>
                <a:cs typeface="Calibri"/>
              </a:rPr>
              <a:t>Vol. 14</a:t>
            </a:r>
          </a:p>
          <a:p>
            <a:pPr algn="r" rtl="0">
              <a:lnSpc>
                <a:spcPts val="1400"/>
              </a:lnSpc>
              <a:defRPr sz="1000"/>
            </a:pPr>
            <a:r>
              <a:rPr lang="fr-CA" sz="1300" b="1" i="0" u="none" strike="noStrike" baseline="0">
                <a:solidFill>
                  <a:srgbClr val="339966"/>
                </a:solidFill>
                <a:latin typeface="+mn-lt"/>
                <a:cs typeface="Calibri"/>
              </a:rPr>
              <a:t>N</a:t>
            </a:r>
            <a:r>
              <a:rPr lang="fr-CA" sz="1300" b="1" i="0" u="none" strike="noStrike" baseline="30000">
                <a:solidFill>
                  <a:srgbClr val="339966"/>
                </a:solidFill>
                <a:latin typeface="+mn-lt"/>
                <a:cs typeface="Calibri"/>
              </a:rPr>
              <a:t>o</a:t>
            </a:r>
            <a:r>
              <a:rPr lang="fr-CA" sz="1300" b="1" i="0" u="none" strike="noStrike" baseline="0">
                <a:solidFill>
                  <a:srgbClr val="339966"/>
                </a:solidFill>
                <a:latin typeface="+mn-lt"/>
                <a:cs typeface="Calibri"/>
              </a:rPr>
              <a:t> 3</a:t>
            </a:r>
          </a:p>
        </xdr:txBody>
      </xdr:sp>
      <xdr:pic>
        <xdr:nvPicPr>
          <xdr:cNvPr id="6" name="Image 24" descr="CDPQ_RVB">
            <a:extLst>
              <a:ext uri="{FF2B5EF4-FFF2-40B4-BE49-F238E27FC236}">
                <a16:creationId xmlns:a16="http://schemas.microsoft.com/office/drawing/2014/main" id="{11A1D4D3-03E7-4DD0-AA1C-A2C80A01E1F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 y="109"/>
            <a:ext cx="118" cy="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Text Box 33">
            <a:extLst>
              <a:ext uri="{FF2B5EF4-FFF2-40B4-BE49-F238E27FC236}">
                <a16:creationId xmlns:a16="http://schemas.microsoft.com/office/drawing/2014/main" id="{6510B06C-C0E8-450B-AC50-817220979968}"/>
              </a:ext>
            </a:extLst>
          </xdr:cNvPr>
          <xdr:cNvSpPr txBox="1">
            <a:spLocks noChangeArrowheads="1"/>
          </xdr:cNvSpPr>
        </xdr:nvSpPr>
        <xdr:spPr bwMode="auto">
          <a:xfrm>
            <a:off x="3" y="26"/>
            <a:ext cx="557" cy="63"/>
          </a:xfrm>
          <a:prstGeom prst="rect">
            <a:avLst/>
          </a:prstGeom>
          <a:noFill/>
          <a:ln>
            <a:noFill/>
          </a:ln>
          <a:effectLst/>
        </xdr:spPr>
        <xdr:txBody>
          <a:bodyPr vertOverflow="clip" wrap="square" lIns="36576" tIns="36576" rIns="36576" bIns="36576" anchor="t" upright="1"/>
          <a:lstStyle/>
          <a:p>
            <a:pPr algn="l" rtl="0">
              <a:lnSpc>
                <a:spcPts val="1600"/>
              </a:lnSpc>
              <a:defRPr sz="1000"/>
            </a:pPr>
            <a:r>
              <a:rPr lang="fr-CA" sz="1600" b="1" i="0" u="none" strike="noStrike" baseline="0">
                <a:solidFill>
                  <a:srgbClr val="FFFFFF"/>
                </a:solidFill>
                <a:latin typeface="Calibri"/>
                <a:cs typeface="Calibri"/>
              </a:rPr>
              <a:t>Tendances des prix du porc et des aliments</a:t>
            </a:r>
          </a:p>
          <a:p>
            <a:pPr algn="l" rtl="0">
              <a:lnSpc>
                <a:spcPts val="1600"/>
              </a:lnSpc>
              <a:defRPr sz="1000"/>
            </a:pPr>
            <a:r>
              <a:rPr lang="fr-CA" sz="1600" b="1" i="0" u="none" strike="noStrike" baseline="0">
                <a:solidFill>
                  <a:srgbClr val="FFFFFF"/>
                </a:solidFill>
                <a:latin typeface="Calibri"/>
                <a:cs typeface="Calibri"/>
              </a:rPr>
              <a:t>et prévision des compensations ASRA en production porcine</a:t>
            </a:r>
          </a:p>
          <a:p>
            <a:pPr algn="l" rtl="0">
              <a:lnSpc>
                <a:spcPts val="1700"/>
              </a:lnSpc>
              <a:defRPr sz="1000"/>
            </a:pPr>
            <a:endParaRPr lang="fr-CA" sz="1600" b="1" i="0" u="none" strike="noStrike" baseline="0">
              <a:solidFill>
                <a:srgbClr val="FFFFFF"/>
              </a:solidFill>
              <a:latin typeface="Calibri"/>
              <a:cs typeface="Calibri"/>
            </a:endParaRPr>
          </a:p>
        </xdr:txBody>
      </xdr:sp>
      <xdr:sp macro="" textlink="">
        <xdr:nvSpPr>
          <xdr:cNvPr id="8" name="Text Box 34">
            <a:extLst>
              <a:ext uri="{FF2B5EF4-FFF2-40B4-BE49-F238E27FC236}">
                <a16:creationId xmlns:a16="http://schemas.microsoft.com/office/drawing/2014/main" id="{DFA02DA1-6214-41A6-A639-E24AC47738AC}"/>
              </a:ext>
            </a:extLst>
          </xdr:cNvPr>
          <xdr:cNvSpPr txBox="1">
            <a:spLocks noChangeArrowheads="1"/>
          </xdr:cNvSpPr>
        </xdr:nvSpPr>
        <xdr:spPr bwMode="auto">
          <a:xfrm>
            <a:off x="5" y="85"/>
            <a:ext cx="285" cy="29"/>
          </a:xfrm>
          <a:prstGeom prst="rect">
            <a:avLst/>
          </a:prstGeom>
          <a:noFill/>
          <a:ln>
            <a:noFill/>
          </a:ln>
          <a:effectLst/>
        </xdr:spPr>
        <xdr:txBody>
          <a:bodyPr vertOverflow="clip" wrap="square" lIns="36576" tIns="36576" rIns="36576" bIns="36576" anchor="t" upright="1"/>
          <a:lstStyle/>
          <a:p>
            <a:pPr algn="l" rtl="0">
              <a:defRPr sz="1000"/>
            </a:pPr>
            <a:r>
              <a:rPr lang="fr-CA" sz="1000" b="1" i="0" u="none" strike="noStrike" baseline="0">
                <a:solidFill>
                  <a:srgbClr val="FFFFFF"/>
                </a:solidFill>
                <a:latin typeface="Calibri"/>
                <a:cs typeface="Calibri"/>
              </a:rPr>
              <a:t>Feuillet d’information réalisé par le CDPQ</a:t>
            </a:r>
          </a:p>
          <a:p>
            <a:pPr algn="l" rtl="0">
              <a:defRPr sz="1000"/>
            </a:pPr>
            <a:endParaRPr lang="fr-CA" sz="1000" b="1" i="0" u="none" strike="noStrike" baseline="0">
              <a:solidFill>
                <a:srgbClr val="FFFFFF"/>
              </a:solidFill>
              <a:latin typeface="Calibri"/>
              <a:cs typeface="Calibri"/>
            </a:endParaRPr>
          </a:p>
        </xdr:txBody>
      </xdr:sp>
      <xdr:sp macro="" textlink="">
        <xdr:nvSpPr>
          <xdr:cNvPr id="9" name="Text Box 35">
            <a:extLst>
              <a:ext uri="{FF2B5EF4-FFF2-40B4-BE49-F238E27FC236}">
                <a16:creationId xmlns:a16="http://schemas.microsoft.com/office/drawing/2014/main" id="{2FDBEF75-EBB4-4818-AD76-0EBD8CFC049D}"/>
              </a:ext>
            </a:extLst>
          </xdr:cNvPr>
          <xdr:cNvSpPr txBox="1">
            <a:spLocks noChangeArrowheads="1"/>
          </xdr:cNvSpPr>
        </xdr:nvSpPr>
        <xdr:spPr bwMode="auto">
          <a:xfrm>
            <a:off x="416" y="108"/>
            <a:ext cx="140" cy="54"/>
          </a:xfrm>
          <a:prstGeom prst="rect">
            <a:avLst/>
          </a:prstGeom>
          <a:noFill/>
          <a:ln>
            <a:noFill/>
          </a:ln>
          <a:effectLst/>
        </xdr:spPr>
        <xdr:txBody>
          <a:bodyPr vertOverflow="clip" wrap="square" lIns="36576" tIns="36576" rIns="36576" bIns="36576" anchor="t" upright="1"/>
          <a:lstStyle/>
          <a:p>
            <a:pPr algn="r" rtl="0">
              <a:defRPr sz="1000"/>
            </a:pPr>
            <a:r>
              <a:rPr lang="fr-CA" sz="1300" b="1" i="0" strike="noStrike">
                <a:solidFill>
                  <a:srgbClr val="339966"/>
                </a:solidFill>
                <a:latin typeface="+mn-lt"/>
              </a:rPr>
              <a:t>Novembre</a:t>
            </a:r>
          </a:p>
          <a:p>
            <a:pPr algn="r" rtl="0">
              <a:defRPr sz="1000"/>
            </a:pPr>
            <a:r>
              <a:rPr lang="fr-CA" sz="1300" b="1" i="0" strike="noStrike">
                <a:solidFill>
                  <a:srgbClr val="339966"/>
                </a:solidFill>
                <a:latin typeface="+mn-lt"/>
              </a:rPr>
              <a:t>2024</a:t>
            </a:r>
          </a:p>
          <a:p>
            <a:pPr algn="r" rtl="0">
              <a:defRPr sz="1000"/>
            </a:pPr>
            <a:endParaRPr lang="fr-CA" sz="1300" b="1" i="0" strike="noStrike">
              <a:solidFill>
                <a:srgbClr val="339966"/>
              </a:solidFill>
              <a:latin typeface="+mn-lt"/>
            </a:endParaRPr>
          </a:p>
        </xdr:txBody>
      </xdr:sp>
    </xdr:grpSp>
    <xdr:clientData/>
  </xdr:twoCellAnchor>
  <xdr:twoCellAnchor editAs="oneCell">
    <xdr:from>
      <xdr:col>0</xdr:col>
      <xdr:colOff>142875</xdr:colOff>
      <xdr:row>4</xdr:row>
      <xdr:rowOff>28575</xdr:rowOff>
    </xdr:from>
    <xdr:to>
      <xdr:col>8</xdr:col>
      <xdr:colOff>657225</xdr:colOff>
      <xdr:row>50</xdr:row>
      <xdr:rowOff>28575</xdr:rowOff>
    </xdr:to>
    <xdr:sp macro="" textlink="">
      <xdr:nvSpPr>
        <xdr:cNvPr id="10" name="Object 3215" hidden="1">
          <a:extLst>
            <a:ext uri="{FF2B5EF4-FFF2-40B4-BE49-F238E27FC236}">
              <a16:creationId xmlns:a16="http://schemas.microsoft.com/office/drawing/2014/main" id="{D03B4577-C35E-43E9-94BD-61BD1068CCE9}"/>
            </a:ext>
          </a:extLst>
        </xdr:cNvPr>
        <xdr:cNvSpPr>
          <a:spLocks noChangeArrowheads="1"/>
        </xdr:cNvSpPr>
      </xdr:nvSpPr>
      <xdr:spPr bwMode="auto">
        <a:xfrm>
          <a:off x="142875" y="2095500"/>
          <a:ext cx="6305550" cy="7448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142875</xdr:colOff>
      <xdr:row>106</xdr:row>
      <xdr:rowOff>0</xdr:rowOff>
    </xdr:from>
    <xdr:to>
      <xdr:col>8</xdr:col>
      <xdr:colOff>657225</xdr:colOff>
      <xdr:row>142</xdr:row>
      <xdr:rowOff>38101</xdr:rowOff>
    </xdr:to>
    <xdr:sp macro="" textlink="">
      <xdr:nvSpPr>
        <xdr:cNvPr id="11" name="Object 3218" hidden="1">
          <a:extLst>
            <a:ext uri="{FF2B5EF4-FFF2-40B4-BE49-F238E27FC236}">
              <a16:creationId xmlns:a16="http://schemas.microsoft.com/office/drawing/2014/main" id="{0C772F85-BDED-420A-BCFE-6D2C6D96F3D9}"/>
            </a:ext>
          </a:extLst>
        </xdr:cNvPr>
        <xdr:cNvSpPr>
          <a:spLocks noChangeArrowheads="1"/>
        </xdr:cNvSpPr>
      </xdr:nvSpPr>
      <xdr:spPr bwMode="auto">
        <a:xfrm>
          <a:off x="142875" y="18583275"/>
          <a:ext cx="6305550" cy="5867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142875</xdr:colOff>
      <xdr:row>54</xdr:row>
      <xdr:rowOff>0</xdr:rowOff>
    </xdr:from>
    <xdr:ext cx="6283779" cy="5916386"/>
    <xdr:sp macro="" textlink="">
      <xdr:nvSpPr>
        <xdr:cNvPr id="12" name="Object 3218" hidden="1">
          <a:extLst>
            <a:ext uri="{FF2B5EF4-FFF2-40B4-BE49-F238E27FC236}">
              <a16:creationId xmlns:a16="http://schemas.microsoft.com/office/drawing/2014/main" id="{C5817DA3-EC8D-4399-BBF6-D053FE36DCBD}"/>
            </a:ext>
          </a:extLst>
        </xdr:cNvPr>
        <xdr:cNvSpPr>
          <a:spLocks noChangeArrowheads="1"/>
        </xdr:cNvSpPr>
      </xdr:nvSpPr>
      <xdr:spPr bwMode="auto">
        <a:xfrm>
          <a:off x="142875" y="10163175"/>
          <a:ext cx="6283779" cy="5916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42334</xdr:colOff>
      <xdr:row>2</xdr:row>
      <xdr:rowOff>31753</xdr:rowOff>
    </xdr:from>
    <xdr:to>
      <xdr:col>9</xdr:col>
      <xdr:colOff>10584</xdr:colOff>
      <xdr:row>52</xdr:row>
      <xdr:rowOff>127000</xdr:rowOff>
    </xdr:to>
    <xdr:sp macro="" textlink="">
      <xdr:nvSpPr>
        <xdr:cNvPr id="13" name="ZoneTexte 12">
          <a:extLst>
            <a:ext uri="{FF2B5EF4-FFF2-40B4-BE49-F238E27FC236}">
              <a16:creationId xmlns:a16="http://schemas.microsoft.com/office/drawing/2014/main" id="{016AAEA8-9C7A-42F1-8939-C5A4945B86AC}"/>
            </a:ext>
          </a:extLst>
        </xdr:cNvPr>
        <xdr:cNvSpPr txBox="1"/>
      </xdr:nvSpPr>
      <xdr:spPr>
        <a:xfrm>
          <a:off x="42334" y="1778003"/>
          <a:ext cx="6477000" cy="80433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CA" sz="1000">
              <a:effectLst/>
              <a:latin typeface="Arial" panose="020B0604020202020204" pitchFamily="34" charset="0"/>
              <a:ea typeface="Times New Roman" panose="02020603050405020304" pitchFamily="18" charset="0"/>
            </a:rPr>
            <a:t>Le CDPQ met à votre disposition un outil Excel qui vous aidera dans la réalisation de vos budgets en production porcine pour les années 2024 et 2025, que ce soit pour un budget annuel ou de trésorerie. </a:t>
          </a:r>
          <a:endParaRPr lang="fr-CA" sz="1200">
            <a:effectLst/>
            <a:latin typeface="Times New Roman" panose="02020603050405020304" pitchFamily="18" charset="0"/>
            <a:ea typeface="Times New Roman" panose="02020603050405020304" pitchFamily="18" charset="0"/>
          </a:endParaRPr>
        </a:p>
        <a:p>
          <a:pPr algn="just"/>
          <a:r>
            <a:rPr lang="fr-CA" sz="1000">
              <a:effectLst/>
              <a:latin typeface="Arial" panose="020B0604020202020204" pitchFamily="34" charset="0"/>
              <a:ea typeface="Times New Roman" panose="02020603050405020304" pitchFamily="18" charset="0"/>
            </a:rPr>
            <a:t> </a:t>
          </a:r>
          <a:endParaRPr lang="fr-CA" sz="1200">
            <a:effectLst/>
            <a:latin typeface="Times New Roman" panose="02020603050405020304" pitchFamily="18" charset="0"/>
            <a:ea typeface="Times New Roman" panose="02020603050405020304" pitchFamily="18" charset="0"/>
          </a:endParaRPr>
        </a:p>
        <a:p>
          <a:pPr algn="just"/>
          <a:r>
            <a:rPr lang="fr-CA" sz="1000">
              <a:effectLst/>
              <a:latin typeface="Arial" panose="020B0604020202020204" pitchFamily="34" charset="0"/>
              <a:ea typeface="Times New Roman" panose="02020603050405020304" pitchFamily="18" charset="0"/>
            </a:rPr>
            <a:t>Cet outil simple permet d’établir le lien entre un prix du porc « x » et un coût d’alimentation « y » et la compensation d’assurance stabilisation des revenus agricoles (ASRA) qui y sera théoriquement rattachée. De plus, vous pourrez générer vos prévisions mensuelles de prix de moulées ou de grains à partir de votre propre coût d’alimentation de l’année précédente (2023). </a:t>
          </a:r>
          <a:endParaRPr lang="fr-CA" sz="1200">
            <a:effectLst/>
            <a:latin typeface="Times New Roman" panose="02020603050405020304" pitchFamily="18" charset="0"/>
            <a:ea typeface="Times New Roman" panose="02020603050405020304" pitchFamily="18" charset="0"/>
          </a:endParaRPr>
        </a:p>
        <a:p>
          <a:pPr algn="just"/>
          <a:r>
            <a:rPr lang="fr-CA" sz="1000">
              <a:effectLst/>
              <a:latin typeface="Arial" panose="020B0604020202020204" pitchFamily="34" charset="0"/>
              <a:ea typeface="Times New Roman" panose="02020603050405020304" pitchFamily="18" charset="0"/>
            </a:rPr>
            <a:t> </a:t>
          </a:r>
          <a:endParaRPr lang="fr-CA" sz="1200">
            <a:effectLst/>
            <a:latin typeface="Times New Roman" panose="02020603050405020304" pitchFamily="18" charset="0"/>
            <a:ea typeface="Times New Roman" panose="02020603050405020304" pitchFamily="18" charset="0"/>
          </a:endParaRPr>
        </a:p>
        <a:p>
          <a:pPr algn="just"/>
          <a:r>
            <a:rPr lang="fr-CA" sz="1000">
              <a:solidFill>
                <a:srgbClr val="984806"/>
              </a:solidFill>
              <a:effectLst/>
              <a:latin typeface="Arial" panose="020B0604020202020204" pitchFamily="34" charset="0"/>
              <a:ea typeface="Times New Roman" panose="02020603050405020304" pitchFamily="18" charset="0"/>
            </a:rPr>
            <a:t>Il convient de souligner que les calculs de cette édition sont basés sur le modèle 2022 indexé de La Financière agricole du Québec (FADQ), et, plus précisément, sur les données préliminaires du coût de production 2024 que la FADQ nous a fournies en octobre 2024. </a:t>
          </a:r>
          <a:endParaRPr lang="fr-CA" sz="1200">
            <a:effectLst/>
            <a:latin typeface="Times New Roman" panose="02020603050405020304" pitchFamily="18" charset="0"/>
            <a:ea typeface="Times New Roman" panose="02020603050405020304" pitchFamily="18" charset="0"/>
          </a:endParaRPr>
        </a:p>
        <a:p>
          <a:pPr algn="just"/>
          <a:r>
            <a:rPr lang="fr-CA" sz="1000">
              <a:effectLst/>
              <a:latin typeface="Arial" panose="020B0604020202020204" pitchFamily="34" charset="0"/>
              <a:ea typeface="Times New Roman" panose="02020603050405020304" pitchFamily="18" charset="0"/>
            </a:rPr>
            <a:t> </a:t>
          </a:r>
          <a:endParaRPr lang="fr-CA" sz="1200">
            <a:effectLst/>
            <a:latin typeface="Times New Roman" panose="02020603050405020304" pitchFamily="18" charset="0"/>
            <a:ea typeface="Times New Roman" panose="02020603050405020304" pitchFamily="18" charset="0"/>
          </a:endParaRPr>
        </a:p>
        <a:p>
          <a:pPr algn="just"/>
          <a:r>
            <a:rPr lang="fr-CA" sz="1000">
              <a:effectLst/>
              <a:latin typeface="Arial" panose="020B0604020202020204" pitchFamily="34" charset="0"/>
              <a:ea typeface="Times New Roman" panose="02020603050405020304" pitchFamily="18" charset="0"/>
            </a:rPr>
            <a:t>Depuis le 23 avril 2023, la Convention de mise en marché des porcs 2023-2026 s’applique. Le prix de base des porcs, fixé au cours de la première année de la convention correspond à 85 % de la valeur reconstituée d’une carcasse de porc aux États-Unis et augmentera progressivement pour atteindre 88 % dès la troisième année jusqu’à la fin de la convention, le 26 avril 2026. Les prévisions du CDPQ tiennent compte de l’évolution des contrats à terme de la valeur de la carcasse reconstituée (</a:t>
          </a:r>
          <a:r>
            <a:rPr lang="fr-CA" sz="1000" i="1">
              <a:effectLst/>
              <a:latin typeface="Arial" panose="020B0604020202020204" pitchFamily="34" charset="0"/>
              <a:ea typeface="Times New Roman" panose="02020603050405020304" pitchFamily="18" charset="0"/>
            </a:rPr>
            <a:t>pork cutout</a:t>
          </a:r>
          <a:r>
            <a:rPr lang="fr-CA" sz="1000">
              <a:effectLst/>
              <a:latin typeface="Arial" panose="020B0604020202020204" pitchFamily="34" charset="0"/>
              <a:ea typeface="Times New Roman" panose="02020603050405020304" pitchFamily="18" charset="0"/>
            </a:rPr>
            <a:t>) afin d’estimer leur effet sur le prix au Québec. </a:t>
          </a:r>
          <a:endParaRPr lang="fr-CA" sz="1200">
            <a:effectLst/>
            <a:latin typeface="Times New Roman" panose="02020603050405020304" pitchFamily="18" charset="0"/>
            <a:ea typeface="Times New Roman" panose="02020603050405020304" pitchFamily="18" charset="0"/>
          </a:endParaRPr>
        </a:p>
        <a:p>
          <a:pPr algn="just"/>
          <a:r>
            <a:rPr lang="fr-CA" sz="1000">
              <a:effectLst/>
              <a:latin typeface="Arial" panose="020B0604020202020204" pitchFamily="34" charset="0"/>
              <a:ea typeface="Times New Roman" panose="02020603050405020304" pitchFamily="18" charset="0"/>
            </a:rPr>
            <a:t> </a:t>
          </a:r>
          <a:endParaRPr lang="fr-CA" sz="1200">
            <a:effectLst/>
            <a:latin typeface="Times New Roman" panose="02020603050405020304" pitchFamily="18" charset="0"/>
            <a:ea typeface="Times New Roman" panose="02020603050405020304" pitchFamily="18" charset="0"/>
          </a:endParaRPr>
        </a:p>
        <a:p>
          <a:pPr algn="just"/>
          <a:r>
            <a:rPr lang="fr-CA" sz="1000">
              <a:effectLst/>
              <a:latin typeface="Arial" panose="020B0604020202020204" pitchFamily="34" charset="0"/>
              <a:ea typeface="Times New Roman" panose="02020603050405020304" pitchFamily="18" charset="0"/>
            </a:rPr>
            <a:t>En outre, depuis le début de mars 2022, des réductions temporaires au prix des porcs ont été appliquées dans un contexte de réduction de la capacité d’abattages au Québec. Cette édition présente des prévisions de prix tenant compte de ces réductions. </a:t>
          </a:r>
          <a:r>
            <a:rPr lang="fr-CA" sz="1000" b="1">
              <a:effectLst/>
              <a:latin typeface="Arial" panose="020B0604020202020204" pitchFamily="34" charset="0"/>
              <a:ea typeface="Times New Roman" panose="02020603050405020304" pitchFamily="18" charset="0"/>
            </a:rPr>
            <a:t>Nous invitons le lecteur à prendre connaissance de l’onglet « Réduction du prix des porcs » afin de bien comprendre comment elles ont été évaluées.</a:t>
          </a:r>
          <a:r>
            <a:rPr lang="fr-CA" sz="1000">
              <a:effectLst/>
              <a:latin typeface="Arial" panose="020B0604020202020204" pitchFamily="34" charset="0"/>
              <a:ea typeface="Times New Roman" panose="02020603050405020304" pitchFamily="18" charset="0"/>
            </a:rPr>
            <a:t> À noter que beaucoup d’inconnues demeurent et que les modalités d’application pourraient changer. </a:t>
          </a:r>
          <a:r>
            <a:rPr lang="fr-CA" sz="1000">
              <a:solidFill>
                <a:srgbClr val="984806"/>
              </a:solidFill>
              <a:effectLst/>
              <a:latin typeface="Arial" panose="020B0604020202020204" pitchFamily="34" charset="0"/>
              <a:ea typeface="Times New Roman" panose="02020603050405020304" pitchFamily="18" charset="0"/>
            </a:rPr>
            <a:t>Notamment, cet outil ne tient pas en compte, pour les éleveurs qui seront touchés, de la hausse éventuelle des frais de transport vers un autre abattoir que Vallée-Jonction.</a:t>
          </a:r>
          <a:endParaRPr lang="fr-CA" sz="1200">
            <a:effectLst/>
            <a:latin typeface="Times New Roman" panose="02020603050405020304" pitchFamily="18" charset="0"/>
            <a:ea typeface="Times New Roman" panose="02020603050405020304" pitchFamily="18" charset="0"/>
          </a:endParaRPr>
        </a:p>
        <a:p>
          <a:pPr algn="just"/>
          <a:r>
            <a:rPr lang="fr-CA" sz="1000">
              <a:effectLst/>
              <a:latin typeface="Arial" panose="020B0604020202020204" pitchFamily="34" charset="0"/>
              <a:ea typeface="Times New Roman" panose="02020603050405020304" pitchFamily="18" charset="0"/>
            </a:rPr>
            <a:t> </a:t>
          </a:r>
          <a:endParaRPr lang="fr-CA" sz="1200">
            <a:effectLst/>
            <a:latin typeface="Times New Roman" panose="02020603050405020304" pitchFamily="18" charset="0"/>
            <a:ea typeface="Times New Roman" panose="02020603050405020304" pitchFamily="18" charset="0"/>
          </a:endParaRPr>
        </a:p>
        <a:p>
          <a:pPr algn="just"/>
          <a:r>
            <a:rPr lang="fr-CA" sz="1000" b="1">
              <a:effectLst/>
              <a:latin typeface="Arial" panose="020B0604020202020204" pitchFamily="34" charset="0"/>
              <a:ea typeface="Times New Roman" panose="02020603050405020304" pitchFamily="18" charset="0"/>
            </a:rPr>
            <a:t>Mises en garde</a:t>
          </a:r>
          <a:endParaRPr lang="fr-CA" sz="1200">
            <a:effectLst/>
            <a:latin typeface="Times New Roman" panose="02020603050405020304" pitchFamily="18" charset="0"/>
            <a:ea typeface="Times New Roman" panose="02020603050405020304" pitchFamily="18" charset="0"/>
          </a:endParaRPr>
        </a:p>
        <a:p>
          <a:pPr algn="just"/>
          <a:r>
            <a:rPr lang="fr-CA" sz="1000">
              <a:effectLst/>
              <a:latin typeface="Arial" panose="020B0604020202020204" pitchFamily="34" charset="0"/>
              <a:ea typeface="Times New Roman" panose="02020603050405020304" pitchFamily="18" charset="0"/>
            </a:rPr>
            <a:t> </a:t>
          </a:r>
          <a:endParaRPr lang="fr-CA" sz="1200">
            <a:effectLst/>
            <a:latin typeface="Times New Roman" panose="02020603050405020304" pitchFamily="18" charset="0"/>
            <a:ea typeface="Times New Roman" panose="02020603050405020304" pitchFamily="18" charset="0"/>
          </a:endParaRPr>
        </a:p>
        <a:p>
          <a:pPr marL="342900" lvl="0" indent="-342900" algn="just">
            <a:buFont typeface="+mj-lt"/>
            <a:buAutoNum type="arabicPeriod"/>
            <a:tabLst>
              <a:tab pos="457200" algn="l"/>
            </a:tabLst>
          </a:pPr>
          <a:r>
            <a:rPr lang="fr-FR" sz="1000">
              <a:effectLst/>
              <a:latin typeface="Arial" panose="020B0604020202020204" pitchFamily="34" charset="0"/>
              <a:ea typeface="Times New Roman" panose="02020603050405020304" pitchFamily="18" charset="0"/>
            </a:rPr>
            <a:t>Nous devons travailler avec des indices de prix établis à partir de références publiques. Nous vous invitons à faire de même, puisque le coût des aliments varie d’une ferme à l’autre, en fonction de votre région, de votre fournisseur d’intrants, de vos recettes, de vos politiques de paiements, etc. L’hypothèse retenue est que si le prix de référence (+ la base moyenne des cinq années précédentes) augmente de 10 %, le prix variera aussi de 10 % chez vous, que vous soyez en Beauce, en Montérégie ou ailleurs au Québec. Le prix de référence provient des données de la Bourse de Chicago (CME Group) pour le maïs, le tourteau de soja et la carcasse de porc, </a:t>
          </a:r>
          <a:r>
            <a:rPr lang="fr-FR" sz="1000">
              <a:solidFill>
                <a:srgbClr val="984806"/>
              </a:solidFill>
              <a:effectLst/>
              <a:latin typeface="Arial" panose="020B0604020202020204" pitchFamily="34" charset="0"/>
              <a:ea typeface="Times New Roman" panose="02020603050405020304" pitchFamily="18" charset="0"/>
            </a:rPr>
            <a:t>en utilisant la moyenne de valeurs de fermeture de quatre dates, soit les 4, 11, 18 et 25 octobre, afin de réduire l’effet de la volatilité quotidienne pouvant toucher ces données.</a:t>
          </a:r>
          <a:endParaRPr lang="fr-CA" sz="1200">
            <a:effectLst/>
            <a:latin typeface="Times New Roman" panose="02020603050405020304" pitchFamily="18" charset="0"/>
            <a:ea typeface="Times New Roman" panose="02020603050405020304" pitchFamily="18" charset="0"/>
          </a:endParaRPr>
        </a:p>
        <a:p>
          <a:pPr algn="just"/>
          <a:r>
            <a:rPr lang="fr-FR" sz="1000">
              <a:effectLst/>
              <a:latin typeface="Arial" panose="020B0604020202020204" pitchFamily="34" charset="0"/>
              <a:ea typeface="Times New Roman" panose="02020603050405020304" pitchFamily="18" charset="0"/>
            </a:rPr>
            <a:t> </a:t>
          </a:r>
          <a:endParaRPr lang="fr-CA" sz="1200">
            <a:effectLst/>
            <a:latin typeface="Times New Roman" panose="02020603050405020304" pitchFamily="18" charset="0"/>
            <a:ea typeface="Times New Roman" panose="02020603050405020304" pitchFamily="18" charset="0"/>
          </a:endParaRPr>
        </a:p>
        <a:p>
          <a:pPr marL="342900" lvl="0" indent="-342900" algn="just">
            <a:buFont typeface="+mj-lt"/>
            <a:buAutoNum type="arabicPeriod" startAt="2"/>
            <a:tabLst>
              <a:tab pos="457200" algn="l"/>
            </a:tabLst>
          </a:pPr>
          <a:r>
            <a:rPr lang="fr-FR" sz="1000">
              <a:effectLst/>
              <a:latin typeface="Arial" panose="020B0604020202020204" pitchFamily="34" charset="0"/>
              <a:ea typeface="Times New Roman" panose="02020603050405020304" pitchFamily="18" charset="0"/>
            </a:rPr>
            <a:t>Les suggestions indicielles présentées ici sont en fonction des marchés à terme et autres données disponibles. </a:t>
          </a:r>
          <a:r>
            <a:rPr lang="fr-FR" sz="1000" b="1">
              <a:effectLst/>
              <a:latin typeface="Arial" panose="020B0604020202020204" pitchFamily="34" charset="0"/>
              <a:ea typeface="Times New Roman" panose="02020603050405020304" pitchFamily="18" charset="0"/>
            </a:rPr>
            <a:t>Avec des marchés extrêmement volatils, ces prévisions ne constituent pas une certitude, mais un état de la situation à une date donnée. L’objectif est </a:t>
          </a:r>
          <a:r>
            <a:rPr lang="fr-FR" sz="1000" b="1" u="sng">
              <a:effectLst/>
              <a:latin typeface="Arial" panose="020B0604020202020204" pitchFamily="34" charset="0"/>
              <a:ea typeface="Times New Roman" panose="02020603050405020304" pitchFamily="18" charset="0"/>
            </a:rPr>
            <a:t>d’arrimer</a:t>
          </a:r>
          <a:r>
            <a:rPr lang="fr-FR" sz="1000" b="1">
              <a:effectLst/>
              <a:latin typeface="Arial" panose="020B0604020202020204" pitchFamily="34" charset="0"/>
              <a:ea typeface="Times New Roman" panose="02020603050405020304" pitchFamily="18" charset="0"/>
            </a:rPr>
            <a:t> la compensation d’ASRA d’une entreprise avec ses propres prix de marché pour la réalisation de budgets</a:t>
          </a:r>
          <a:r>
            <a:rPr lang="fr-FR" sz="1000">
              <a:effectLst/>
              <a:latin typeface="Arial" panose="020B0604020202020204" pitchFamily="34" charset="0"/>
              <a:ea typeface="Times New Roman" panose="02020603050405020304" pitchFamily="18" charset="0"/>
            </a:rPr>
            <a:t>.</a:t>
          </a:r>
          <a:endParaRPr lang="fr-CA" sz="1200">
            <a:effectLst/>
            <a:latin typeface="Times New Roman" panose="02020603050405020304" pitchFamily="18" charset="0"/>
            <a:ea typeface="Times New Roman" panose="02020603050405020304" pitchFamily="18" charset="0"/>
          </a:endParaRPr>
        </a:p>
        <a:p>
          <a:pPr algn="just"/>
          <a:r>
            <a:rPr lang="fr-CA" sz="1000">
              <a:effectLst/>
              <a:latin typeface="Arial" panose="020B0604020202020204" pitchFamily="34" charset="0"/>
              <a:ea typeface="Times New Roman" panose="02020603050405020304" pitchFamily="18" charset="0"/>
            </a:rPr>
            <a:t> </a:t>
          </a:r>
          <a:endParaRPr lang="fr-CA" sz="1200">
            <a:effectLst/>
            <a:latin typeface="Times New Roman" panose="02020603050405020304" pitchFamily="18" charset="0"/>
            <a:ea typeface="Times New Roman" panose="02020603050405020304" pitchFamily="18" charset="0"/>
          </a:endParaRPr>
        </a:p>
        <a:p>
          <a:pPr marL="342900" lvl="0" indent="-342900" algn="just">
            <a:buFont typeface="+mj-lt"/>
            <a:buAutoNum type="arabicPeriod" startAt="3"/>
            <a:tabLst>
              <a:tab pos="457200" algn="l"/>
            </a:tabLst>
          </a:pPr>
          <a:r>
            <a:rPr lang="fr-FR" sz="1000">
              <a:effectLst/>
              <a:latin typeface="Arial" panose="020B0604020202020204" pitchFamily="34" charset="0"/>
              <a:ea typeface="Times New Roman" panose="02020603050405020304" pitchFamily="18" charset="0"/>
            </a:rPr>
            <a:t>Aussi, si vous procédez à des améliorations techniques à la ferme, ou si le producteur que vous conseillez négocie un escompte différent de celui de l’année précédente, vous devrez en tenir compte dans votre budget. Il en sera de même si vous apportez des modifications aux recettes, car cela a un effet sur le prix.</a:t>
          </a:r>
          <a:endParaRPr lang="fr-FR" sz="1000">
            <a:solidFill>
              <a:schemeClr val="dk1"/>
            </a:solidFill>
            <a:effectLst/>
            <a:latin typeface="Arial" panose="020B0604020202020204" pitchFamily="34" charset="0"/>
            <a:ea typeface="Times New Roman" panose="02020603050405020304" pitchFamily="18" charset="0"/>
            <a:cs typeface="+mn-cs"/>
          </a:endParaRPr>
        </a:p>
        <a:p>
          <a:pPr marL="342900" lvl="0" indent="-342900" algn="just">
            <a:buFont typeface="+mj-lt"/>
            <a:buAutoNum type="arabicPeriod" startAt="3"/>
            <a:tabLst>
              <a:tab pos="457200" algn="l"/>
            </a:tabLst>
          </a:pPr>
          <a:endParaRPr lang="fr-CA" sz="1000">
            <a:effectLst/>
            <a:latin typeface="Arial" panose="020B0604020202020204" pitchFamily="34" charset="0"/>
            <a:ea typeface="Times New Roman" panose="02020603050405020304" pitchFamily="18" charset="0"/>
            <a:cs typeface="Arial" panose="020B0604020202020204" pitchFamily="34" charset="0"/>
          </a:endParaRPr>
        </a:p>
        <a:p>
          <a:pPr marL="342900" lvl="0" indent="-342900" algn="just">
            <a:buFont typeface="+mj-lt"/>
            <a:buAutoNum type="arabicPeriod" startAt="4"/>
            <a:tabLst>
              <a:tab pos="457200" algn="l"/>
            </a:tabLst>
          </a:pPr>
          <a:r>
            <a:rPr lang="fr-FR" sz="1000">
              <a:solidFill>
                <a:srgbClr val="984806"/>
              </a:solidFill>
              <a:effectLst/>
              <a:latin typeface="Arial" panose="020B0604020202020204" pitchFamily="34" charset="0"/>
              <a:ea typeface="Times New Roman" panose="02020603050405020304" pitchFamily="18" charset="0"/>
            </a:rPr>
            <a:t>Les données préliminaires du programme ASRA pour l'année 2024, basées sur le modèle 2022 de la ferme porcine, ont été fournies par la FADQ en octobre 2024 et actualisées dans la publication Men$uel PORC.</a:t>
          </a:r>
          <a:r>
            <a:rPr lang="fr-CA" sz="1000">
              <a:effectLst/>
              <a:latin typeface="Arial" panose="020B0604020202020204" pitchFamily="34" charset="0"/>
              <a:ea typeface="Times New Roman" panose="02020603050405020304" pitchFamily="18" charset="0"/>
            </a:rPr>
            <a:t> Ces données ont servi de référence pour les prévisions des années 2024 et 2025. Parmi les ajustements notables par rapport au modèle 2017, le poids de vente dans le cadre de l’ASRA a été révisé à 112,9 kg carcasse, contre 107,6 kg carcasse (annualisé) auparavant. De plus, le nombre de porcs assurables a été révisé de 7 436 (annualisé) à 9 364 porcs.</a:t>
          </a:r>
          <a:r>
            <a:rPr lang="fr-CA" sz="1000">
              <a:effectLst/>
              <a:highlight>
                <a:srgbClr val="00FFFF"/>
              </a:highlight>
              <a:latin typeface="Arial" panose="020B0604020202020204" pitchFamily="34" charset="0"/>
              <a:ea typeface="Times New Roman" panose="02020603050405020304" pitchFamily="18" charset="0"/>
            </a:rPr>
            <a:t> </a:t>
          </a:r>
          <a:endParaRPr lang="fr-CA" sz="1200">
            <a:effectLst/>
            <a:latin typeface="Times New Roman" panose="02020603050405020304" pitchFamily="18" charset="0"/>
            <a:ea typeface="Times New Roman" panose="02020603050405020304" pitchFamily="18" charset="0"/>
          </a:endParaRPr>
        </a:p>
        <a:p>
          <a:pPr marL="0" lvl="0" indent="0" algn="just">
            <a:buFont typeface="Arial" panose="020B0604020202020204" pitchFamily="34" charset="0"/>
            <a:buNone/>
          </a:pPr>
          <a:endParaRPr lang="fr-CA" sz="100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52295</xdr:colOff>
      <xdr:row>54</xdr:row>
      <xdr:rowOff>121397</xdr:rowOff>
    </xdr:from>
    <xdr:to>
      <xdr:col>8</xdr:col>
      <xdr:colOff>750172</xdr:colOff>
      <xdr:row>102</xdr:row>
      <xdr:rowOff>131980</xdr:rowOff>
    </xdr:to>
    <xdr:sp macro="" textlink="">
      <xdr:nvSpPr>
        <xdr:cNvPr id="14" name="ZoneTexte 13">
          <a:extLst>
            <a:ext uri="{FF2B5EF4-FFF2-40B4-BE49-F238E27FC236}">
              <a16:creationId xmlns:a16="http://schemas.microsoft.com/office/drawing/2014/main" id="{00C84D37-6A7F-4FA9-AE08-DAA121E5BA78}"/>
            </a:ext>
          </a:extLst>
        </xdr:cNvPr>
        <xdr:cNvSpPr txBox="1"/>
      </xdr:nvSpPr>
      <xdr:spPr>
        <a:xfrm>
          <a:off x="52295" y="10038603"/>
          <a:ext cx="6524936" cy="75409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457200" algn="just">
            <a:lnSpc>
              <a:spcPct val="100000"/>
            </a:lnSpc>
            <a:spcAft>
              <a:spcPts val="0"/>
            </a:spcAft>
            <a:tabLst>
              <a:tab pos="457200" algn="l"/>
            </a:tabLst>
          </a:pPr>
          <a:r>
            <a:rPr lang="fr-CA" sz="1000">
              <a:effectLst/>
              <a:latin typeface="Arial" panose="020B0604020202020204" pitchFamily="34" charset="0"/>
              <a:ea typeface="Times New Roman" panose="02020603050405020304" pitchFamily="18" charset="0"/>
            </a:rPr>
            <a:t> </a:t>
          </a:r>
          <a:endParaRPr lang="fr-CA" sz="1200">
            <a:effectLst/>
            <a:latin typeface="Times New Roman" panose="02020603050405020304" pitchFamily="18" charset="0"/>
            <a:ea typeface="Times New Roman" panose="02020603050405020304" pitchFamily="18" charset="0"/>
          </a:endParaRPr>
        </a:p>
        <a:p>
          <a:pPr marL="457200" algn="just">
            <a:lnSpc>
              <a:spcPct val="100000"/>
            </a:lnSpc>
            <a:spcAft>
              <a:spcPts val="0"/>
            </a:spcAft>
          </a:pPr>
          <a:r>
            <a:rPr lang="fr-CA" sz="1000">
              <a:effectLst/>
              <a:latin typeface="Arial" panose="020B0604020202020204" pitchFamily="34" charset="0"/>
              <a:ea typeface="Times New Roman" panose="02020603050405020304" pitchFamily="18" charset="0"/>
            </a:rPr>
            <a:t> </a:t>
          </a:r>
          <a:endParaRPr lang="fr-CA" sz="1200">
            <a:effectLst/>
            <a:latin typeface="Times New Roman" panose="02020603050405020304" pitchFamily="18" charset="0"/>
            <a:ea typeface="Times New Roman" panose="02020603050405020304" pitchFamily="18" charset="0"/>
          </a:endParaRPr>
        </a:p>
        <a:p>
          <a:pPr marL="342900" lvl="0" indent="-342900" algn="just">
            <a:lnSpc>
              <a:spcPct val="100000"/>
            </a:lnSpc>
            <a:spcAft>
              <a:spcPts val="0"/>
            </a:spcAft>
            <a:buClrTx/>
            <a:buFont typeface="+mj-lt"/>
            <a:buAutoNum type="arabicPeriod" startAt="5"/>
            <a:tabLst>
              <a:tab pos="457200" algn="l"/>
            </a:tabLst>
          </a:pPr>
          <a:r>
            <a:rPr lang="fr-FR" sz="1000">
              <a:solidFill>
                <a:srgbClr val="984806"/>
              </a:solidFill>
              <a:effectLst/>
              <a:latin typeface="Arial" panose="020B0604020202020204" pitchFamily="34" charset="0"/>
              <a:ea typeface="Times New Roman" panose="02020603050405020304" pitchFamily="18" charset="0"/>
            </a:rPr>
            <a:t>Veuillez noter que nous n’avons pas indexé le prix des </a:t>
          </a:r>
          <a:r>
            <a:rPr lang="fr-FR" sz="1000" b="1">
              <a:solidFill>
                <a:srgbClr val="984806"/>
              </a:solidFill>
              <a:effectLst/>
              <a:latin typeface="Arial" panose="020B0604020202020204" pitchFamily="34" charset="0"/>
              <a:ea typeface="Times New Roman" panose="02020603050405020304" pitchFamily="18" charset="0"/>
            </a:rPr>
            <a:t>carburants et du propane</a:t>
          </a:r>
          <a:r>
            <a:rPr lang="fr-FR" sz="1000">
              <a:solidFill>
                <a:srgbClr val="984806"/>
              </a:solidFill>
              <a:effectLst/>
              <a:latin typeface="Arial" panose="020B0604020202020204" pitchFamily="34" charset="0"/>
              <a:ea typeface="Times New Roman" panose="02020603050405020304" pitchFamily="18" charset="0"/>
            </a:rPr>
            <a:t> pour 2024 et 2025, par rapport à 2023. En revanche, nous avons indexé les </a:t>
          </a:r>
          <a:r>
            <a:rPr lang="fr-FR" sz="1000" b="1">
              <a:solidFill>
                <a:srgbClr val="984806"/>
              </a:solidFill>
              <a:effectLst/>
              <a:latin typeface="Arial" panose="020B0604020202020204" pitchFamily="34" charset="0"/>
              <a:ea typeface="Times New Roman" panose="02020603050405020304" pitchFamily="18" charset="0"/>
            </a:rPr>
            <a:t>coûts autres que ceux de l’énergie et de l’alimentation</a:t>
          </a:r>
          <a:r>
            <a:rPr lang="fr-FR" sz="1000">
              <a:solidFill>
                <a:srgbClr val="984806"/>
              </a:solidFill>
              <a:effectLst/>
              <a:latin typeface="Arial" panose="020B0604020202020204" pitchFamily="34" charset="0"/>
              <a:ea typeface="Times New Roman" panose="02020603050405020304" pitchFamily="18" charset="0"/>
            </a:rPr>
            <a:t>, de 2,5</a:t>
          </a:r>
          <a:r>
            <a:rPr lang="fr-FR" sz="1000" b="1">
              <a:solidFill>
                <a:srgbClr val="984806"/>
              </a:solidFill>
              <a:effectLst/>
              <a:latin typeface="Arial" panose="020B0604020202020204" pitchFamily="34" charset="0"/>
              <a:ea typeface="Times New Roman" panose="02020603050405020304" pitchFamily="18" charset="0"/>
            </a:rPr>
            <a:t> %</a:t>
          </a:r>
          <a:r>
            <a:rPr lang="fr-FR" sz="1000">
              <a:solidFill>
                <a:srgbClr val="984806"/>
              </a:solidFill>
              <a:effectLst/>
              <a:latin typeface="Arial" panose="020B0604020202020204" pitchFamily="34" charset="0"/>
              <a:ea typeface="Times New Roman" panose="02020603050405020304" pitchFamily="18" charset="0"/>
            </a:rPr>
            <a:t>. </a:t>
          </a:r>
          <a:r>
            <a:rPr lang="fr-FR" sz="1000">
              <a:effectLst/>
              <a:latin typeface="Arial" panose="020B0604020202020204" pitchFamily="34" charset="0"/>
              <a:ea typeface="Times New Roman" panose="02020603050405020304" pitchFamily="18" charset="0"/>
            </a:rPr>
            <a:t>Ceci, afin de refléter le contexte actuel, où l’inflation sur le coût de l’énergie est en forte diminution tandis qu’une certaine inflation demeure dans le second cas. Ceci nous apparaissait plus judicieux que de n’indexer que le coût d’alimentation et le prix du porc comme dans les éditions précédentes. Nous vous invitons à faire de même à l’intérieur de vos budgets.</a:t>
          </a:r>
          <a:endParaRPr lang="fr-CA" sz="1200">
            <a:effectLst/>
            <a:latin typeface="Times New Roman" panose="02020603050405020304" pitchFamily="18" charset="0"/>
            <a:ea typeface="Times New Roman" panose="02020603050405020304" pitchFamily="18" charset="0"/>
          </a:endParaRPr>
        </a:p>
        <a:p>
          <a:pPr algn="just">
            <a:lnSpc>
              <a:spcPct val="100000"/>
            </a:lnSpc>
            <a:spcAft>
              <a:spcPts val="0"/>
            </a:spcAft>
          </a:pPr>
          <a:r>
            <a:rPr lang="fr-CA" sz="1000">
              <a:effectLst/>
              <a:latin typeface="Arial" panose="020B0604020202020204" pitchFamily="34" charset="0"/>
              <a:ea typeface="Times New Roman" panose="02020603050405020304" pitchFamily="18" charset="0"/>
            </a:rPr>
            <a:t> </a:t>
          </a:r>
          <a:endParaRPr lang="fr-CA" sz="1200">
            <a:effectLst/>
            <a:latin typeface="Times New Roman" panose="02020603050405020304" pitchFamily="18" charset="0"/>
            <a:ea typeface="Times New Roman" panose="02020603050405020304" pitchFamily="18" charset="0"/>
          </a:endParaRPr>
        </a:p>
        <a:p>
          <a:pPr marL="342900" lvl="0" indent="-342900" algn="just">
            <a:lnSpc>
              <a:spcPct val="100000"/>
            </a:lnSpc>
            <a:spcAft>
              <a:spcPts val="0"/>
            </a:spcAft>
            <a:buFont typeface="+mj-lt"/>
            <a:buAutoNum type="arabicPeriod" startAt="6"/>
            <a:tabLst>
              <a:tab pos="457200" algn="l"/>
            </a:tabLst>
          </a:pPr>
          <a:r>
            <a:rPr lang="fr-FR" sz="1000">
              <a:effectLst/>
              <a:latin typeface="Arial" panose="020B0604020202020204" pitchFamily="34" charset="0"/>
              <a:ea typeface="Times New Roman" panose="02020603050405020304" pitchFamily="18" charset="0"/>
            </a:rPr>
            <a:t>Les indices ont été calculés en y incluant un taux de change par rapport au dollar américain pour 2024 et 2025. Les taux utilisés sont indiqués à l’onglet « Résultats vs 2023 ».</a:t>
          </a:r>
          <a:endParaRPr lang="fr-CA" sz="1200">
            <a:effectLst/>
            <a:latin typeface="Times New Roman" panose="02020603050405020304" pitchFamily="18" charset="0"/>
            <a:ea typeface="Times New Roman" panose="02020603050405020304" pitchFamily="18" charset="0"/>
          </a:endParaRPr>
        </a:p>
        <a:p>
          <a:pPr marL="457200" algn="just">
            <a:lnSpc>
              <a:spcPct val="100000"/>
            </a:lnSpc>
            <a:spcAft>
              <a:spcPts val="0"/>
            </a:spcAft>
            <a:tabLst>
              <a:tab pos="457200" algn="l"/>
            </a:tabLst>
          </a:pPr>
          <a:r>
            <a:rPr lang="fr-FR" sz="1000">
              <a:effectLst/>
              <a:latin typeface="Arial" panose="020B0604020202020204" pitchFamily="34" charset="0"/>
              <a:ea typeface="Times New Roman" panose="02020603050405020304" pitchFamily="18" charset="0"/>
            </a:rPr>
            <a:t> </a:t>
          </a:r>
          <a:endParaRPr lang="fr-CA" sz="1200">
            <a:effectLst/>
            <a:latin typeface="Times New Roman" panose="02020603050405020304" pitchFamily="18" charset="0"/>
            <a:ea typeface="Times New Roman" panose="02020603050405020304" pitchFamily="18" charset="0"/>
          </a:endParaRPr>
        </a:p>
        <a:p>
          <a:pPr marL="342900" lvl="0" indent="-342900" algn="just">
            <a:lnSpc>
              <a:spcPct val="100000"/>
            </a:lnSpc>
            <a:spcAft>
              <a:spcPts val="0"/>
            </a:spcAft>
            <a:buFont typeface="+mj-lt"/>
            <a:buAutoNum type="arabicPeriod" startAt="7"/>
            <a:tabLst>
              <a:tab pos="457200" algn="l"/>
            </a:tabLst>
          </a:pPr>
          <a:r>
            <a:rPr lang="fr-FR" sz="1000">
              <a:effectLst/>
              <a:latin typeface="Arial" panose="020B0604020202020204" pitchFamily="34" charset="0"/>
              <a:ea typeface="Times New Roman" panose="02020603050405020304" pitchFamily="18" charset="0"/>
              <a:cs typeface="Times New Roman" panose="02020603050405020304" pitchFamily="18" charset="0"/>
            </a:rPr>
            <a:t>Nous avons également pris en compte la suspension du programme Agri-Québec pour les productions animales couvertes par l’ASRA, décision de la FADQ qui entraine une hausse du prix stabilisé ajusté. </a:t>
          </a:r>
          <a:r>
            <a:rPr lang="fr-FR" sz="1000">
              <a:solidFill>
                <a:srgbClr val="984806"/>
              </a:solidFill>
              <a:effectLst/>
              <a:latin typeface="Arial" panose="020B0604020202020204" pitchFamily="34" charset="0"/>
              <a:ea typeface="Times New Roman" panose="02020603050405020304" pitchFamily="18" charset="0"/>
              <a:cs typeface="Times New Roman" panose="02020603050405020304" pitchFamily="18" charset="0"/>
            </a:rPr>
            <a:t>Pour 2024, nous avons retenu le montant d'Agri-investissement de 1,61 $/porc, basé sur les prévisions fournies par la FADQ en octobre 2024.</a:t>
          </a:r>
          <a:r>
            <a:rPr lang="fr-FR" sz="1000">
              <a:effectLst/>
              <a:latin typeface="Arial" panose="020B0604020202020204" pitchFamily="34" charset="0"/>
              <a:ea typeface="Times New Roman" panose="02020603050405020304" pitchFamily="18" charset="0"/>
              <a:cs typeface="Times New Roman" panose="02020603050405020304" pitchFamily="18" charset="0"/>
            </a:rPr>
            <a:t> Cette compensation se réfère uniquement au montant d’Agri-investissement pour 2024, puisque celui de 2023 a déjà été alloué. </a:t>
          </a:r>
          <a:r>
            <a:rPr lang="fr-FR" sz="1000">
              <a:solidFill>
                <a:srgbClr val="984806"/>
              </a:solidFill>
              <a:effectLst/>
              <a:latin typeface="Arial" panose="020B0604020202020204" pitchFamily="34" charset="0"/>
              <a:ea typeface="Times New Roman" panose="02020603050405020304" pitchFamily="18" charset="0"/>
              <a:cs typeface="Times New Roman" panose="02020603050405020304" pitchFamily="18" charset="0"/>
            </a:rPr>
            <a:t>Pour 2025, nous avons également estimé un montant de 1,61 $/porc</a:t>
          </a:r>
          <a:r>
            <a:rPr lang="fr-FR" sz="1000">
              <a:effectLst/>
              <a:latin typeface="Arial" panose="020B0604020202020204" pitchFamily="34" charset="0"/>
              <a:ea typeface="Times New Roman" panose="02020603050405020304" pitchFamily="18" charset="0"/>
              <a:cs typeface="Times New Roman" panose="02020603050405020304" pitchFamily="18" charset="0"/>
            </a:rPr>
            <a:t>, bien que les marchés à terme anticipent une légère hausse du prix des porcs, combinée à une réduction du coût de l’alimentation animale similaire à celle de 2024. Cette situation s'explique par le plafonnement des contributions gouvernementales à ce programme, qui, vu l’application du modèle 2022 indexé du coût de production de la ferme porcine naisseur-finisseur, atteindrait son maximum. </a:t>
          </a:r>
          <a:r>
            <a:rPr lang="fr-FR" sz="1000">
              <a:solidFill>
                <a:srgbClr val="984806"/>
              </a:solidFill>
              <a:effectLst/>
              <a:latin typeface="Arial" panose="020B0604020202020204" pitchFamily="34" charset="0"/>
              <a:ea typeface="Times New Roman" panose="02020603050405020304" pitchFamily="18" charset="0"/>
              <a:cs typeface="Times New Roman" panose="02020603050405020304" pitchFamily="18" charset="0"/>
            </a:rPr>
            <a:t>En conséquence, seul ce montant d’Agri-investissement estimé pour 2025 réduirait l'ASRA disponible, puisque celui de 2024 sera déjà utilisé, selon les prévisions actuelles. </a:t>
          </a:r>
          <a:endParaRPr lang="fr-CA" sz="1100">
            <a:effectLst/>
            <a:latin typeface="Calibri" panose="020F0502020204030204" pitchFamily="34" charset="0"/>
            <a:ea typeface="Times New Roman" panose="02020603050405020304" pitchFamily="18" charset="0"/>
            <a:cs typeface="Times New Roman" panose="02020603050405020304" pitchFamily="18" charset="0"/>
          </a:endParaRPr>
        </a:p>
        <a:p>
          <a:pPr algn="just">
            <a:lnSpc>
              <a:spcPct val="100000"/>
            </a:lnSpc>
            <a:spcAft>
              <a:spcPts val="0"/>
            </a:spcAft>
          </a:pPr>
          <a:r>
            <a:rPr lang="fr-FR" sz="1000">
              <a:solidFill>
                <a:srgbClr val="984806"/>
              </a:solidFill>
              <a:effectLst/>
              <a:latin typeface="Arial" panose="020B0604020202020204" pitchFamily="34" charset="0"/>
              <a:ea typeface="Times New Roman" panose="02020603050405020304" pitchFamily="18" charset="0"/>
            </a:rPr>
            <a:t> </a:t>
          </a:r>
          <a:endParaRPr lang="fr-CA" sz="1200">
            <a:effectLst/>
            <a:latin typeface="Times New Roman" panose="02020603050405020304" pitchFamily="18" charset="0"/>
            <a:ea typeface="Times New Roman" panose="02020603050405020304" pitchFamily="18" charset="0"/>
          </a:endParaRPr>
        </a:p>
        <a:p>
          <a:pPr algn="just">
            <a:lnSpc>
              <a:spcPct val="100000"/>
            </a:lnSpc>
            <a:spcAft>
              <a:spcPts val="0"/>
            </a:spcAft>
          </a:pPr>
          <a:r>
            <a:rPr lang="fr-CA" sz="1000" b="1">
              <a:effectLst/>
              <a:latin typeface="Arial" panose="020B0604020202020204" pitchFamily="34" charset="0"/>
              <a:ea typeface="Times New Roman" panose="02020603050405020304" pitchFamily="18" charset="0"/>
            </a:rPr>
            <a:t>Méthode d’utilisation</a:t>
          </a:r>
          <a:endParaRPr lang="fr-CA" sz="1200">
            <a:effectLst/>
            <a:latin typeface="Times New Roman" panose="02020603050405020304" pitchFamily="18" charset="0"/>
            <a:ea typeface="Times New Roman" panose="02020603050405020304" pitchFamily="18" charset="0"/>
          </a:endParaRPr>
        </a:p>
        <a:p>
          <a:pPr algn="just">
            <a:lnSpc>
              <a:spcPct val="100000"/>
            </a:lnSpc>
            <a:spcAft>
              <a:spcPts val="0"/>
            </a:spcAft>
          </a:pPr>
          <a:r>
            <a:rPr lang="fr-CA" sz="1000">
              <a:effectLst/>
              <a:latin typeface="Arial" panose="020B0604020202020204" pitchFamily="34" charset="0"/>
              <a:ea typeface="Times New Roman" panose="02020603050405020304" pitchFamily="18" charset="0"/>
            </a:rPr>
            <a:t> </a:t>
          </a:r>
          <a:endParaRPr lang="fr-CA" sz="1200">
            <a:effectLst/>
            <a:latin typeface="Times New Roman" panose="02020603050405020304" pitchFamily="18" charset="0"/>
            <a:ea typeface="Times New Roman" panose="02020603050405020304" pitchFamily="18" charset="0"/>
          </a:endParaRPr>
        </a:p>
        <a:p>
          <a:pPr algn="just">
            <a:lnSpc>
              <a:spcPct val="100000"/>
            </a:lnSpc>
            <a:spcAft>
              <a:spcPts val="0"/>
            </a:spcAft>
          </a:pPr>
          <a:r>
            <a:rPr lang="fr-CA" sz="1000">
              <a:effectLst/>
              <a:latin typeface="Arial" panose="020B0604020202020204" pitchFamily="34" charset="0"/>
              <a:ea typeface="Times New Roman" panose="02020603050405020304" pitchFamily="18" charset="0"/>
            </a:rPr>
            <a:t>Dans l’onglet « Résultats vs 2023 », le tableau « Tendance des prix » indique les indices mensuels, trimestriels et annuels (2024 et 2025) de variation du prix du porc et des aliments. Si vous saisissez votre prix moyen de 2023 dans la cellule verte de l’aliment correspondant, vous obtiendrez les prix à utiliser pour votre budget. </a:t>
          </a:r>
          <a:r>
            <a:rPr lang="fr-CA" sz="1000" b="1">
              <a:solidFill>
                <a:srgbClr val="984806"/>
              </a:solidFill>
              <a:effectLst/>
              <a:latin typeface="Arial" panose="020B0604020202020204" pitchFamily="34" charset="0"/>
              <a:ea typeface="Times New Roman" panose="02020603050405020304" pitchFamily="18" charset="0"/>
            </a:rPr>
            <a:t>La colonne « porc » génère des prix dans une colonne qui estime l’effet des réductions de prix qui pourraient s’appliquer en 2024 et en 2025, selon les informations disponibles actuellement. </a:t>
          </a:r>
          <a:endParaRPr lang="fr-CA" sz="1200">
            <a:effectLst/>
            <a:latin typeface="Times New Roman" panose="02020603050405020304" pitchFamily="18" charset="0"/>
            <a:ea typeface="Times New Roman" panose="02020603050405020304" pitchFamily="18" charset="0"/>
          </a:endParaRPr>
        </a:p>
        <a:p>
          <a:pPr algn="just">
            <a:lnSpc>
              <a:spcPct val="100000"/>
            </a:lnSpc>
            <a:spcAft>
              <a:spcPts val="0"/>
            </a:spcAft>
          </a:pPr>
          <a:r>
            <a:rPr lang="fr-CA" sz="1000">
              <a:effectLst/>
              <a:latin typeface="Arial" panose="020B0604020202020204" pitchFamily="34" charset="0"/>
              <a:ea typeface="Times New Roman" panose="02020603050405020304" pitchFamily="18" charset="0"/>
            </a:rPr>
            <a:t> </a:t>
          </a:r>
          <a:endParaRPr lang="fr-CA" sz="1200">
            <a:effectLst/>
            <a:latin typeface="Times New Roman" panose="02020603050405020304" pitchFamily="18" charset="0"/>
            <a:ea typeface="Times New Roman" panose="02020603050405020304" pitchFamily="18" charset="0"/>
          </a:endParaRPr>
        </a:p>
        <a:p>
          <a:pPr algn="just">
            <a:lnSpc>
              <a:spcPct val="100000"/>
            </a:lnSpc>
            <a:spcAft>
              <a:spcPts val="0"/>
            </a:spcAft>
          </a:pPr>
          <a:r>
            <a:rPr lang="fr-CA" sz="1000">
              <a:effectLst/>
              <a:latin typeface="Arial" panose="020B0604020202020204" pitchFamily="34" charset="0"/>
              <a:ea typeface="Times New Roman" panose="02020603050405020304" pitchFamily="18" charset="0"/>
            </a:rPr>
            <a:t>À noter que</a:t>
          </a:r>
          <a:r>
            <a:rPr lang="fr-CA" sz="1000" b="1">
              <a:effectLst/>
              <a:latin typeface="Arial" panose="020B0604020202020204" pitchFamily="34" charset="0"/>
              <a:ea typeface="Times New Roman" panose="02020603050405020304" pitchFamily="18" charset="0"/>
            </a:rPr>
            <a:t> </a:t>
          </a:r>
          <a:r>
            <a:rPr lang="fr-CA" sz="1000">
              <a:effectLst/>
              <a:latin typeface="Arial" panose="020B0604020202020204" pitchFamily="34" charset="0"/>
              <a:ea typeface="Times New Roman" panose="02020603050405020304" pitchFamily="18" charset="0"/>
            </a:rPr>
            <a:t>pour 2023, vous pouvez obtenir un prix moyen différent du prix moyen annuel selon vos volumes de ventes/mois ou d’achats/mois. Important : le calcul des indices, tant pour 2024 que pour 2025, est effectué à partir du prix moyen de 2023; donc, il vous faut utiliser cette donnée comme référence pour votre ferme et non pas le prix du dernier mois, par exemple. </a:t>
          </a:r>
          <a:endParaRPr lang="fr-CA" sz="1200">
            <a:effectLst/>
            <a:latin typeface="Times New Roman" panose="02020603050405020304" pitchFamily="18" charset="0"/>
            <a:ea typeface="Times New Roman" panose="02020603050405020304" pitchFamily="18" charset="0"/>
          </a:endParaRPr>
        </a:p>
        <a:p>
          <a:pPr algn="just">
            <a:lnSpc>
              <a:spcPct val="100000"/>
            </a:lnSpc>
            <a:spcAft>
              <a:spcPts val="0"/>
            </a:spcAft>
          </a:pPr>
          <a:r>
            <a:rPr lang="fr-CA" sz="1000">
              <a:effectLst/>
              <a:latin typeface="Arial" panose="020B0604020202020204" pitchFamily="34" charset="0"/>
              <a:ea typeface="Times New Roman" panose="02020603050405020304" pitchFamily="18" charset="0"/>
            </a:rPr>
            <a:t> </a:t>
          </a:r>
          <a:endParaRPr lang="fr-CA" sz="1200">
            <a:effectLst/>
            <a:latin typeface="Times New Roman" panose="02020603050405020304" pitchFamily="18" charset="0"/>
            <a:ea typeface="Times New Roman" panose="02020603050405020304" pitchFamily="18" charset="0"/>
          </a:endParaRPr>
        </a:p>
        <a:p>
          <a:pPr algn="just">
            <a:lnSpc>
              <a:spcPct val="100000"/>
            </a:lnSpc>
            <a:spcAft>
              <a:spcPts val="0"/>
            </a:spcAft>
          </a:pPr>
          <a:r>
            <a:rPr lang="fr-CA" sz="1000">
              <a:effectLst/>
              <a:latin typeface="Arial" panose="020B0604020202020204" pitchFamily="34" charset="0"/>
              <a:ea typeface="Times New Roman" panose="02020603050405020304" pitchFamily="18" charset="0"/>
            </a:rPr>
            <a:t>Pour les prémix et minéraux, l’indexation retenue est de -1 %.</a:t>
          </a:r>
          <a:endParaRPr lang="fr-CA" sz="1200">
            <a:effectLst/>
            <a:latin typeface="Times New Roman" panose="02020603050405020304" pitchFamily="18" charset="0"/>
            <a:ea typeface="Times New Roman" panose="02020603050405020304" pitchFamily="18" charset="0"/>
          </a:endParaRPr>
        </a:p>
        <a:p>
          <a:pPr algn="just">
            <a:lnSpc>
              <a:spcPct val="100000"/>
            </a:lnSpc>
            <a:spcAft>
              <a:spcPts val="0"/>
            </a:spcAft>
          </a:pPr>
          <a:r>
            <a:rPr lang="fr-CA" sz="1000">
              <a:effectLst/>
              <a:latin typeface="Arial" panose="020B0604020202020204" pitchFamily="34" charset="0"/>
              <a:ea typeface="Times New Roman" panose="02020603050405020304" pitchFamily="18" charset="0"/>
            </a:rPr>
            <a:t> </a:t>
          </a:r>
          <a:endParaRPr lang="fr-CA" sz="1200">
            <a:effectLst/>
            <a:latin typeface="Times New Roman" panose="02020603050405020304" pitchFamily="18" charset="0"/>
            <a:ea typeface="Times New Roman" panose="02020603050405020304" pitchFamily="18" charset="0"/>
          </a:endParaRPr>
        </a:p>
        <a:p>
          <a:pPr algn="just">
            <a:lnSpc>
              <a:spcPct val="100000"/>
            </a:lnSpc>
            <a:spcAft>
              <a:spcPts val="0"/>
            </a:spcAft>
          </a:pPr>
          <a:r>
            <a:rPr lang="fr-CA" sz="1000">
              <a:effectLst/>
              <a:latin typeface="Arial" panose="020B0604020202020204" pitchFamily="34" charset="0"/>
              <a:ea typeface="Times New Roman" panose="02020603050405020304" pitchFamily="18" charset="0"/>
            </a:rPr>
            <a:t>Si vous désirez travailler sur les coûts d’alimentation globaux, nous avons inscrit sous le tableau « Tendance des prix » l’indexation globale pour l’alimentation de toute l’année. Cependant, ce résultat, soit -15,3 % d’indexation en 2024, ne s’applique que si vous avez une ferme de type naisseur-finisseur. </a:t>
          </a:r>
          <a:endParaRPr lang="fr-CA" sz="1200">
            <a:effectLst/>
            <a:latin typeface="Times New Roman" panose="02020603050405020304" pitchFamily="18" charset="0"/>
            <a:ea typeface="Times New Roman" panose="02020603050405020304" pitchFamily="18" charset="0"/>
          </a:endParaRPr>
        </a:p>
        <a:p>
          <a:pPr algn="just">
            <a:lnSpc>
              <a:spcPct val="100000"/>
            </a:lnSpc>
            <a:spcAft>
              <a:spcPts val="0"/>
            </a:spcAft>
          </a:pPr>
          <a:endParaRPr lang="fr-CA" sz="1000">
            <a:solidFill>
              <a:srgbClr val="FF0000"/>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37731</xdr:colOff>
      <xdr:row>105</xdr:row>
      <xdr:rowOff>150927</xdr:rowOff>
    </xdr:from>
    <xdr:to>
      <xdr:col>8</xdr:col>
      <xdr:colOff>736231</xdr:colOff>
      <xdr:row>156</xdr:row>
      <xdr:rowOff>157369</xdr:rowOff>
    </xdr:to>
    <xdr:sp macro="" textlink="">
      <xdr:nvSpPr>
        <xdr:cNvPr id="15" name="ZoneTexte 14">
          <a:extLst>
            <a:ext uri="{FF2B5EF4-FFF2-40B4-BE49-F238E27FC236}">
              <a16:creationId xmlns:a16="http://schemas.microsoft.com/office/drawing/2014/main" id="{91AD2EB2-B6A7-446F-A376-E217D2585BB5}"/>
            </a:ext>
          </a:extLst>
        </xdr:cNvPr>
        <xdr:cNvSpPr txBox="1"/>
      </xdr:nvSpPr>
      <xdr:spPr>
        <a:xfrm>
          <a:off x="37731" y="18944166"/>
          <a:ext cx="6463196" cy="84547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CA" sz="1000">
              <a:effectLst/>
              <a:latin typeface="Arial" panose="020B0604020202020204" pitchFamily="34" charset="0"/>
              <a:ea typeface="Times New Roman" panose="02020603050405020304" pitchFamily="18" charset="0"/>
            </a:rPr>
            <a:t>Finalement, au bas de ces tableaux vous trouverez les prévisions des compensations et des cotisations ASRA à employer pour vos budgets si vous utilisez ces indices. Pour 2024 et 2025, </a:t>
          </a:r>
          <a:r>
            <a:rPr lang="fr-CA" sz="1000">
              <a:solidFill>
                <a:srgbClr val="984806"/>
              </a:solidFill>
              <a:effectLst/>
              <a:latin typeface="Arial" panose="020B0604020202020204" pitchFamily="34" charset="0"/>
              <a:ea typeface="Times New Roman" panose="02020603050405020304" pitchFamily="18" charset="0"/>
            </a:rPr>
            <a:t>nous avons retenu la cotisation de 2024 présentée dans la mise à jour des résultats prévisionnels de 2024 fournie par la FADQ en octobre, </a:t>
          </a:r>
          <a:r>
            <a:rPr lang="fr-CA" sz="1000">
              <a:effectLst/>
              <a:latin typeface="Arial" panose="020B0604020202020204" pitchFamily="34" charset="0"/>
              <a:ea typeface="Times New Roman" panose="02020603050405020304" pitchFamily="18" charset="0"/>
            </a:rPr>
            <a:t>puisque nous ne disposons pas, pour le moment, des données nécessaires afin d’utiliser la méthode de calcul officielle de la FADQ. </a:t>
          </a:r>
          <a:r>
            <a:rPr lang="fr-CA" sz="1000">
              <a:solidFill>
                <a:srgbClr val="984806"/>
              </a:solidFill>
              <a:effectLst/>
              <a:latin typeface="Arial" panose="020B0604020202020204" pitchFamily="34" charset="0"/>
              <a:ea typeface="Times New Roman" panose="02020603050405020304" pitchFamily="18" charset="0"/>
            </a:rPr>
            <a:t>Les cotisations ASRA ont été estimées à 90,15 $/truie et 0,0739 $/kg. </a:t>
          </a:r>
          <a:endParaRPr lang="fr-CA" sz="1200">
            <a:effectLst/>
            <a:latin typeface="Times New Roman" panose="02020603050405020304" pitchFamily="18" charset="0"/>
            <a:ea typeface="Times New Roman" panose="02020603050405020304" pitchFamily="18" charset="0"/>
          </a:endParaRPr>
        </a:p>
        <a:p>
          <a:pPr algn="just"/>
          <a:r>
            <a:rPr lang="fr-CA" sz="1000">
              <a:solidFill>
                <a:srgbClr val="984806"/>
              </a:solidFill>
              <a:effectLst/>
              <a:latin typeface="Arial" panose="020B0604020202020204" pitchFamily="34" charset="0"/>
              <a:ea typeface="Times New Roman" panose="02020603050405020304" pitchFamily="18" charset="0"/>
            </a:rPr>
            <a:t> </a:t>
          </a:r>
          <a:endParaRPr lang="fr-CA" sz="1200">
            <a:effectLst/>
            <a:latin typeface="Times New Roman" panose="02020603050405020304" pitchFamily="18" charset="0"/>
            <a:ea typeface="Times New Roman" panose="02020603050405020304" pitchFamily="18" charset="0"/>
          </a:endParaRPr>
        </a:p>
        <a:p>
          <a:pPr algn="just"/>
          <a:r>
            <a:rPr lang="fr-CA" sz="1000" b="1">
              <a:effectLst/>
              <a:latin typeface="Arial" panose="020B0604020202020204" pitchFamily="34" charset="0"/>
              <a:ea typeface="Times New Roman" panose="02020603050405020304" pitchFamily="18" charset="0"/>
            </a:rPr>
            <a:t>Prix du porc</a:t>
          </a:r>
          <a:endParaRPr lang="fr-CA" sz="1200">
            <a:effectLst/>
            <a:latin typeface="Times New Roman" panose="02020603050405020304" pitchFamily="18" charset="0"/>
            <a:ea typeface="Times New Roman" panose="02020603050405020304" pitchFamily="18" charset="0"/>
          </a:endParaRPr>
        </a:p>
        <a:p>
          <a:pPr algn="just"/>
          <a:r>
            <a:rPr lang="fr-CA" sz="1000">
              <a:effectLst/>
              <a:latin typeface="Arial" panose="020B0604020202020204" pitchFamily="34" charset="0"/>
              <a:ea typeface="Times New Roman" panose="02020603050405020304" pitchFamily="18" charset="0"/>
            </a:rPr>
            <a:t> </a:t>
          </a:r>
          <a:endParaRPr lang="fr-CA" sz="1200">
            <a:effectLst/>
            <a:latin typeface="Times New Roman" panose="02020603050405020304" pitchFamily="18" charset="0"/>
            <a:ea typeface="Times New Roman" panose="02020603050405020304" pitchFamily="18" charset="0"/>
          </a:endParaRPr>
        </a:p>
        <a:p>
          <a:pPr algn="just"/>
          <a:r>
            <a:rPr lang="fr-CA" sz="1000">
              <a:effectLst/>
              <a:latin typeface="Arial" panose="020B0604020202020204" pitchFamily="34" charset="0"/>
              <a:ea typeface="Times New Roman" panose="02020603050405020304" pitchFamily="18" charset="0"/>
            </a:rPr>
            <a:t>Le prix des porcs choisi comme référence dans l’outil est celui de la grille « Qualité Québec ». Si vous utilisez une autre grille pour la vente de vos porcs, il faut ajuster votre prix de base des porcs selon cette dernière (prix de base pour 2023).</a:t>
          </a:r>
          <a:endParaRPr lang="fr-CA" sz="1200">
            <a:effectLst/>
            <a:latin typeface="Times New Roman" panose="02020603050405020304" pitchFamily="18" charset="0"/>
            <a:ea typeface="Times New Roman" panose="02020603050405020304" pitchFamily="18" charset="0"/>
          </a:endParaRPr>
        </a:p>
        <a:p>
          <a:pPr algn="just"/>
          <a:endParaRPr lang="fr-CA" sz="1000">
            <a:effectLst/>
            <a:latin typeface="Arial" panose="020B0604020202020204" pitchFamily="34" charset="0"/>
            <a:ea typeface="Times New Roman" panose="02020603050405020304" pitchFamily="18" charset="0"/>
          </a:endParaRPr>
        </a:p>
        <a:p>
          <a:pPr algn="just"/>
          <a:endParaRPr lang="fr-CA" sz="1000">
            <a:effectLst/>
            <a:latin typeface="Arial" panose="020B0604020202020204" pitchFamily="34" charset="0"/>
            <a:ea typeface="Times New Roman" panose="02020603050405020304" pitchFamily="18" charset="0"/>
          </a:endParaRPr>
        </a:p>
        <a:p>
          <a:pPr algn="just"/>
          <a:endParaRPr lang="fr-CA" sz="1200">
            <a:effectLst/>
            <a:latin typeface="Times New Roman" panose="02020603050405020304" pitchFamily="18" charset="0"/>
            <a:ea typeface="Times New Roman" panose="02020603050405020304" pitchFamily="18" charset="0"/>
          </a:endParaRPr>
        </a:p>
        <a:p>
          <a:pPr algn="just"/>
          <a:r>
            <a:rPr lang="fr-CA" sz="1000">
              <a:effectLst/>
              <a:latin typeface="Arial" panose="020B0604020202020204" pitchFamily="34" charset="0"/>
              <a:ea typeface="Times New Roman" panose="02020603050405020304" pitchFamily="18" charset="0"/>
            </a:rPr>
            <a:t>Rédaction : </a:t>
          </a:r>
          <a:endParaRPr lang="fr-CA" sz="1200">
            <a:effectLst/>
            <a:latin typeface="Times New Roman" panose="02020603050405020304" pitchFamily="18" charset="0"/>
            <a:ea typeface="Times New Roman" panose="02020603050405020304" pitchFamily="18" charset="0"/>
          </a:endParaRPr>
        </a:p>
        <a:p>
          <a:pPr algn="just"/>
          <a:r>
            <a:rPr lang="fr-CA" sz="1000">
              <a:effectLst/>
              <a:latin typeface="Arial" panose="020B0604020202020204" pitchFamily="34" charset="0"/>
              <a:ea typeface="Times New Roman" panose="02020603050405020304" pitchFamily="18" charset="0"/>
            </a:rPr>
            <a:t>Caroline Lacroix, B. Sc. A. (agroéconomie)</a:t>
          </a:r>
          <a:endParaRPr lang="fr-CA" sz="1200">
            <a:effectLst/>
            <a:latin typeface="Times New Roman" panose="02020603050405020304" pitchFamily="18" charset="0"/>
            <a:ea typeface="Times New Roman" panose="02020603050405020304" pitchFamily="18" charset="0"/>
          </a:endParaRPr>
        </a:p>
        <a:p>
          <a:pPr algn="just"/>
          <a:r>
            <a:rPr lang="fr-CA" sz="1000">
              <a:effectLst/>
              <a:latin typeface="Arial" panose="020B0604020202020204" pitchFamily="34" charset="0"/>
              <a:ea typeface="Times New Roman" panose="02020603050405020304" pitchFamily="18" charset="0"/>
            </a:rPr>
            <a:t>Michel Mercier, D.T.A. </a:t>
          </a:r>
          <a:endParaRPr lang="fr-CA" sz="1200">
            <a:effectLst/>
            <a:latin typeface="Times New Roman" panose="02020603050405020304" pitchFamily="18" charset="0"/>
            <a:ea typeface="Times New Roman" panose="02020603050405020304" pitchFamily="18" charset="0"/>
          </a:endParaRPr>
        </a:p>
        <a:p>
          <a:endParaRPr lang="fr-CA" sz="1000">
            <a:solidFill>
              <a:srgbClr val="FF0000"/>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147259</xdr:colOff>
      <xdr:row>148</xdr:row>
      <xdr:rowOff>26005</xdr:rowOff>
    </xdr:from>
    <xdr:to>
      <xdr:col>7</xdr:col>
      <xdr:colOff>392258</xdr:colOff>
      <xdr:row>154</xdr:row>
      <xdr:rowOff>75672</xdr:rowOff>
    </xdr:to>
    <xdr:grpSp>
      <xdr:nvGrpSpPr>
        <xdr:cNvPr id="16" name="Group 36">
          <a:extLst>
            <a:ext uri="{FF2B5EF4-FFF2-40B4-BE49-F238E27FC236}">
              <a16:creationId xmlns:a16="http://schemas.microsoft.com/office/drawing/2014/main" id="{116CC33F-E97F-43E6-AF6E-F6855470B020}"/>
            </a:ext>
          </a:extLst>
        </xdr:cNvPr>
        <xdr:cNvGrpSpPr>
          <a:grpSpLocks noChangeAspect="1"/>
        </xdr:cNvGrpSpPr>
      </xdr:nvGrpSpPr>
      <xdr:grpSpPr bwMode="auto">
        <a:xfrm>
          <a:off x="866926" y="24960338"/>
          <a:ext cx="4562999" cy="1002167"/>
          <a:chOff x="107160512" y="108475667"/>
          <a:chExt cx="5590517" cy="1161395"/>
        </a:xfrm>
      </xdr:grpSpPr>
      <xdr:grpSp>
        <xdr:nvGrpSpPr>
          <xdr:cNvPr id="17" name="Group 37">
            <a:extLst>
              <a:ext uri="{FF2B5EF4-FFF2-40B4-BE49-F238E27FC236}">
                <a16:creationId xmlns:a16="http://schemas.microsoft.com/office/drawing/2014/main" id="{673FDE9D-6DD3-43BE-BC2A-F0CA014C956D}"/>
              </a:ext>
            </a:extLst>
          </xdr:cNvPr>
          <xdr:cNvGrpSpPr>
            <a:grpSpLocks/>
          </xdr:cNvGrpSpPr>
        </xdr:nvGrpSpPr>
        <xdr:grpSpPr bwMode="auto">
          <a:xfrm>
            <a:off x="107160512" y="108678835"/>
            <a:ext cx="5590517" cy="958227"/>
            <a:chOff x="107160512" y="108678835"/>
            <a:chExt cx="5590517" cy="958227"/>
          </a:xfrm>
        </xdr:grpSpPr>
        <xdr:pic>
          <xdr:nvPicPr>
            <xdr:cNvPr id="19" name="Image 32">
              <a:extLst>
                <a:ext uri="{FF2B5EF4-FFF2-40B4-BE49-F238E27FC236}">
                  <a16:creationId xmlns:a16="http://schemas.microsoft.com/office/drawing/2014/main" id="{2F1D329C-8521-461E-BC61-E5ABB4DDFC7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12680"/>
            <a:stretch>
              <a:fillRect/>
            </a:stretch>
          </xdr:blipFill>
          <xdr:spPr bwMode="auto">
            <a:xfrm>
              <a:off x="107160512" y="108678835"/>
              <a:ext cx="5590517" cy="958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0" name="AutoShape 39">
              <a:extLst>
                <a:ext uri="{FF2B5EF4-FFF2-40B4-BE49-F238E27FC236}">
                  <a16:creationId xmlns:a16="http://schemas.microsoft.com/office/drawing/2014/main" id="{B04CE12D-A044-4CDA-981E-664762FCD7F2}"/>
                </a:ext>
              </a:extLst>
            </xdr:cNvPr>
            <xdr:cNvCxnSpPr>
              <a:cxnSpLocks noChangeShapeType="1"/>
            </xdr:cNvCxnSpPr>
          </xdr:nvCxnSpPr>
          <xdr:spPr bwMode="auto">
            <a:xfrm>
              <a:off x="107183581" y="108704269"/>
              <a:ext cx="5565914" cy="1"/>
            </a:xfrm>
            <a:prstGeom prst="straightConnector1">
              <a:avLst/>
            </a:prstGeom>
            <a:noFill/>
            <a:ln w="38100">
              <a:solidFill>
                <a:srgbClr val="659144"/>
              </a:solidFill>
              <a:round/>
              <a:headEnd/>
              <a:tailEnd/>
            </a:ln>
            <a:extLst>
              <a:ext uri="{909E8E84-426E-40DD-AFC4-6F175D3DCCD1}">
                <a14:hiddenFill xmlns:a14="http://schemas.microsoft.com/office/drawing/2010/main">
                  <a:noFill/>
                </a14:hiddenFill>
              </a:ext>
            </a:extLst>
          </xdr:spPr>
        </xdr:cxnSp>
      </xdr:grpSp>
      <xdr:sp macro="" textlink="">
        <xdr:nvSpPr>
          <xdr:cNvPr id="18" name="Text Box 40">
            <a:extLst>
              <a:ext uri="{FF2B5EF4-FFF2-40B4-BE49-F238E27FC236}">
                <a16:creationId xmlns:a16="http://schemas.microsoft.com/office/drawing/2014/main" id="{4BA86BAD-21D4-41F8-950A-A7D3EF6D6681}"/>
              </a:ext>
            </a:extLst>
          </xdr:cNvPr>
          <xdr:cNvSpPr txBox="1">
            <a:spLocks noChangeArrowheads="1"/>
          </xdr:cNvSpPr>
        </xdr:nvSpPr>
        <xdr:spPr bwMode="auto">
          <a:xfrm>
            <a:off x="107160512" y="108475667"/>
            <a:ext cx="1498692" cy="212001"/>
          </a:xfrm>
          <a:prstGeom prst="rect">
            <a:avLst/>
          </a:prstGeom>
          <a:noFill/>
          <a:ln>
            <a:noFill/>
          </a:ln>
          <a:effectLst/>
        </xdr:spPr>
        <xdr:txBody>
          <a:bodyPr vertOverflow="clip" wrap="square" lIns="36576" tIns="36576" rIns="36576" bIns="36576" anchor="t" upright="1"/>
          <a:lstStyle/>
          <a:p>
            <a:pPr algn="l" rtl="0">
              <a:defRPr sz="1000"/>
            </a:pPr>
            <a:r>
              <a:rPr lang="fr-CA" sz="1100" b="1" i="0" u="none" strike="noStrike" baseline="0">
                <a:solidFill>
                  <a:srgbClr val="90713A"/>
                </a:solidFill>
                <a:latin typeface="Calibri"/>
              </a:rPr>
              <a:t>Partenaires financiers</a:t>
            </a:r>
          </a:p>
          <a:p>
            <a:pPr algn="l" rtl="0">
              <a:defRPr sz="1000"/>
            </a:pPr>
            <a:endParaRPr lang="fr-CA" sz="1100" b="1" i="0" u="none" strike="noStrike" baseline="0">
              <a:solidFill>
                <a:srgbClr val="90713A"/>
              </a:solidFill>
              <a:latin typeface="Calibri"/>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304378</xdr:colOff>
      <xdr:row>0</xdr:row>
      <xdr:rowOff>1061155</xdr:rowOff>
    </xdr:from>
    <xdr:to>
      <xdr:col>5</xdr:col>
      <xdr:colOff>304604</xdr:colOff>
      <xdr:row>0</xdr:row>
      <xdr:rowOff>1337380</xdr:rowOff>
    </xdr:to>
    <xdr:sp macro="" textlink="">
      <xdr:nvSpPr>
        <xdr:cNvPr id="2" name="Text Box 34">
          <a:extLst>
            <a:ext uri="{FF2B5EF4-FFF2-40B4-BE49-F238E27FC236}">
              <a16:creationId xmlns:a16="http://schemas.microsoft.com/office/drawing/2014/main" id="{00000000-0008-0000-0100-000002000000}"/>
            </a:ext>
          </a:extLst>
        </xdr:cNvPr>
        <xdr:cNvSpPr txBox="1">
          <a:spLocks noChangeArrowheads="1"/>
        </xdr:cNvSpPr>
      </xdr:nvSpPr>
      <xdr:spPr bwMode="auto">
        <a:xfrm>
          <a:off x="674583" y="1061155"/>
          <a:ext cx="2667226" cy="276225"/>
        </a:xfrm>
        <a:prstGeom prst="rect">
          <a:avLst/>
        </a:prstGeom>
        <a:noFill/>
        <a:ln>
          <a:noFill/>
        </a:ln>
        <a:effectLst/>
      </xdr:spPr>
      <xdr:txBody>
        <a:bodyPr vertOverflow="clip" wrap="square" lIns="36576" tIns="36576" rIns="36576" bIns="36576" anchor="t" upright="1"/>
        <a:lstStyle/>
        <a:p>
          <a:pPr algn="l" rtl="0">
            <a:defRPr sz="1000"/>
          </a:pPr>
          <a:r>
            <a:rPr lang="fr-CA" sz="1000" b="1" i="0" u="none" strike="noStrike" baseline="0">
              <a:solidFill>
                <a:srgbClr val="FFFFFF"/>
              </a:solidFill>
              <a:latin typeface="Calibri"/>
              <a:cs typeface="Calibri"/>
            </a:rPr>
            <a:t>Feuillet d’information réalisé par le CDPQ</a:t>
          </a:r>
        </a:p>
        <a:p>
          <a:pPr algn="l" rtl="0">
            <a:defRPr sz="1000"/>
          </a:pPr>
          <a:endParaRPr lang="fr-CA" sz="1000" b="1" i="0" u="none" strike="noStrike" baseline="0">
            <a:solidFill>
              <a:srgbClr val="FFFFFF"/>
            </a:solidFill>
            <a:latin typeface="Calibri"/>
            <a:cs typeface="Calibri"/>
          </a:endParaRPr>
        </a:p>
      </xdr:txBody>
    </xdr:sp>
    <xdr:clientData/>
  </xdr:twoCellAnchor>
  <xdr:twoCellAnchor>
    <xdr:from>
      <xdr:col>2</xdr:col>
      <xdr:colOff>9525</xdr:colOff>
      <xdr:row>0</xdr:row>
      <xdr:rowOff>85725</xdr:rowOff>
    </xdr:from>
    <xdr:to>
      <xdr:col>15</xdr:col>
      <xdr:colOff>523875</xdr:colOff>
      <xdr:row>1</xdr:row>
      <xdr:rowOff>9525</xdr:rowOff>
    </xdr:to>
    <xdr:grpSp>
      <xdr:nvGrpSpPr>
        <xdr:cNvPr id="48368" name="Group 42">
          <a:extLst>
            <a:ext uri="{FF2B5EF4-FFF2-40B4-BE49-F238E27FC236}">
              <a16:creationId xmlns:a16="http://schemas.microsoft.com/office/drawing/2014/main" id="{00000000-0008-0000-0100-0000F0BC0000}"/>
            </a:ext>
          </a:extLst>
        </xdr:cNvPr>
        <xdr:cNvGrpSpPr>
          <a:grpSpLocks/>
        </xdr:cNvGrpSpPr>
      </xdr:nvGrpSpPr>
      <xdr:grpSpPr bwMode="auto">
        <a:xfrm>
          <a:off x="305858" y="85725"/>
          <a:ext cx="8949267" cy="1754717"/>
          <a:chOff x="1" y="9"/>
          <a:chExt cx="720" cy="187"/>
        </a:xfrm>
      </xdr:grpSpPr>
      <xdr:pic>
        <xdr:nvPicPr>
          <xdr:cNvPr id="48369" name="Image 21" descr="bandeau publication">
            <a:extLst>
              <a:ext uri="{FF2B5EF4-FFF2-40B4-BE49-F238E27FC236}">
                <a16:creationId xmlns:a16="http://schemas.microsoft.com/office/drawing/2014/main" id="{00000000-0008-0000-0100-0000F1B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9"/>
            <a:ext cx="720" cy="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solidFill>
                  <a:srgbClr val="000000"/>
                </a:solidFill>
                <a:miter lim="800000"/>
                <a:headEnd/>
                <a:tailEnd/>
              </a14:hiddenLine>
            </a:ext>
          </a:extLst>
        </xdr:spPr>
      </xdr:pic>
      <xdr:sp macro="" textlink="">
        <xdr:nvSpPr>
          <xdr:cNvPr id="5" name="Text Box 32">
            <a:extLst>
              <a:ext uri="{FF2B5EF4-FFF2-40B4-BE49-F238E27FC236}">
                <a16:creationId xmlns:a16="http://schemas.microsoft.com/office/drawing/2014/main" id="{00000000-0008-0000-0100-000005000000}"/>
              </a:ext>
            </a:extLst>
          </xdr:cNvPr>
          <xdr:cNvSpPr txBox="1">
            <a:spLocks noChangeArrowheads="1"/>
          </xdr:cNvSpPr>
        </xdr:nvSpPr>
        <xdr:spPr bwMode="auto">
          <a:xfrm>
            <a:off x="666" y="115"/>
            <a:ext cx="54" cy="50"/>
          </a:xfrm>
          <a:prstGeom prst="rect">
            <a:avLst/>
          </a:prstGeom>
          <a:noFill/>
          <a:ln>
            <a:noFill/>
          </a:ln>
          <a:effectLst/>
        </xdr:spPr>
        <xdr:txBody>
          <a:bodyPr vertOverflow="clip" wrap="square" lIns="36576" tIns="36576" rIns="36576" bIns="36576" anchor="t" upright="1"/>
          <a:lstStyle/>
          <a:p>
            <a:pPr algn="r" rtl="0">
              <a:lnSpc>
                <a:spcPts val="1300"/>
              </a:lnSpc>
              <a:defRPr sz="1000"/>
            </a:pPr>
            <a:r>
              <a:rPr lang="fr-CA" sz="1300" b="1" i="0" u="none" strike="noStrike" baseline="0">
                <a:solidFill>
                  <a:srgbClr val="339966"/>
                </a:solidFill>
                <a:latin typeface="Calibri"/>
                <a:cs typeface="Calibri"/>
              </a:rPr>
              <a:t>Vol. 14</a:t>
            </a:r>
          </a:p>
          <a:p>
            <a:pPr algn="r" rtl="0">
              <a:lnSpc>
                <a:spcPts val="1300"/>
              </a:lnSpc>
              <a:defRPr sz="1000"/>
            </a:pPr>
            <a:r>
              <a:rPr lang="fr-CA" sz="1300" b="1" i="0" u="none" strike="noStrike" baseline="0">
                <a:solidFill>
                  <a:srgbClr val="339966"/>
                </a:solidFill>
                <a:latin typeface="Calibri"/>
                <a:cs typeface="Calibri"/>
              </a:rPr>
              <a:t>N</a:t>
            </a:r>
            <a:r>
              <a:rPr lang="fr-CA" sz="1300" b="1" i="0" u="none" strike="noStrike" baseline="30000">
                <a:solidFill>
                  <a:srgbClr val="339966"/>
                </a:solidFill>
                <a:latin typeface="Calibri"/>
                <a:cs typeface="Calibri"/>
              </a:rPr>
              <a:t>o</a:t>
            </a:r>
            <a:r>
              <a:rPr lang="fr-CA" sz="1300" b="1" i="0" u="none" strike="noStrike" baseline="0">
                <a:solidFill>
                  <a:srgbClr val="339966"/>
                </a:solidFill>
                <a:latin typeface="Calibri"/>
                <a:cs typeface="Calibri"/>
              </a:rPr>
              <a:t> 3</a:t>
            </a:r>
            <a:endParaRPr lang="fr-CA" sz="1000" b="0" i="0" u="none" strike="noStrike" baseline="0">
              <a:solidFill>
                <a:srgbClr val="000000"/>
              </a:solidFill>
              <a:latin typeface="Calibri"/>
              <a:cs typeface="Calibri"/>
            </a:endParaRPr>
          </a:p>
        </xdr:txBody>
      </xdr:sp>
      <xdr:pic>
        <xdr:nvPicPr>
          <xdr:cNvPr id="48371" name="Image 24" descr="CDPQ_RVB">
            <a:extLst>
              <a:ext uri="{FF2B5EF4-FFF2-40B4-BE49-F238E27FC236}">
                <a16:creationId xmlns:a16="http://schemas.microsoft.com/office/drawing/2014/main" id="{00000000-0008-0000-0100-0000F3B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 y="118"/>
            <a:ext cx="97"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Text Box 33">
            <a:extLst>
              <a:ext uri="{FF2B5EF4-FFF2-40B4-BE49-F238E27FC236}">
                <a16:creationId xmlns:a16="http://schemas.microsoft.com/office/drawing/2014/main" id="{00000000-0008-0000-0100-000007000000}"/>
              </a:ext>
            </a:extLst>
          </xdr:cNvPr>
          <xdr:cNvSpPr txBox="1">
            <a:spLocks noChangeArrowheads="1"/>
          </xdr:cNvSpPr>
        </xdr:nvSpPr>
        <xdr:spPr bwMode="auto">
          <a:xfrm>
            <a:off x="3" y="27"/>
            <a:ext cx="557" cy="65"/>
          </a:xfrm>
          <a:prstGeom prst="rect">
            <a:avLst/>
          </a:prstGeom>
          <a:noFill/>
          <a:ln>
            <a:noFill/>
          </a:ln>
          <a:effectLst/>
        </xdr:spPr>
        <xdr:txBody>
          <a:bodyPr vertOverflow="clip" wrap="square" lIns="36576" tIns="36576" rIns="36576" bIns="36576" anchor="t" upright="1"/>
          <a:lstStyle/>
          <a:p>
            <a:pPr algn="l" rtl="0">
              <a:defRPr sz="1000"/>
            </a:pPr>
            <a:r>
              <a:rPr lang="fr-CA" sz="1600" b="1" i="0" u="none" strike="noStrike" baseline="0">
                <a:solidFill>
                  <a:srgbClr val="FFFFFF"/>
                </a:solidFill>
                <a:latin typeface="Calibri"/>
                <a:cs typeface="Calibri"/>
              </a:rPr>
              <a:t>Tendances des prix du porc et des aliments</a:t>
            </a:r>
          </a:p>
          <a:p>
            <a:pPr algn="l" rtl="0">
              <a:defRPr sz="1000"/>
            </a:pPr>
            <a:r>
              <a:rPr lang="fr-CA" sz="1600" b="1" i="0" u="none" strike="noStrike" baseline="0">
                <a:solidFill>
                  <a:srgbClr val="FFFFFF"/>
                </a:solidFill>
                <a:latin typeface="Calibri"/>
                <a:cs typeface="Calibri"/>
              </a:rPr>
              <a:t>et prévision des compensations ASRA en production porcine</a:t>
            </a:r>
          </a:p>
          <a:p>
            <a:pPr algn="l" rtl="0">
              <a:defRPr sz="1000"/>
            </a:pPr>
            <a:endParaRPr lang="fr-CA" sz="1600" b="1" i="0" u="none" strike="noStrike" baseline="0">
              <a:solidFill>
                <a:srgbClr val="FFFFFF"/>
              </a:solidFill>
              <a:latin typeface="Calibri"/>
              <a:cs typeface="Calibri"/>
            </a:endParaRPr>
          </a:p>
        </xdr:txBody>
      </xdr:sp>
      <xdr:sp macro="" textlink="">
        <xdr:nvSpPr>
          <xdr:cNvPr id="8" name="Text Box 34">
            <a:extLst>
              <a:ext uri="{FF2B5EF4-FFF2-40B4-BE49-F238E27FC236}">
                <a16:creationId xmlns:a16="http://schemas.microsoft.com/office/drawing/2014/main" id="{00000000-0008-0000-0100-000008000000}"/>
              </a:ext>
            </a:extLst>
          </xdr:cNvPr>
          <xdr:cNvSpPr txBox="1">
            <a:spLocks noChangeArrowheads="1"/>
          </xdr:cNvSpPr>
        </xdr:nvSpPr>
        <xdr:spPr bwMode="auto">
          <a:xfrm>
            <a:off x="5" y="84"/>
            <a:ext cx="285" cy="34"/>
          </a:xfrm>
          <a:prstGeom prst="rect">
            <a:avLst/>
          </a:prstGeom>
          <a:noFill/>
          <a:ln>
            <a:noFill/>
          </a:ln>
          <a:effectLst/>
        </xdr:spPr>
        <xdr:txBody>
          <a:bodyPr vertOverflow="clip" wrap="square" lIns="36576" tIns="36576" rIns="36576" bIns="36576" anchor="t" upright="1"/>
          <a:lstStyle/>
          <a:p>
            <a:pPr algn="l" rtl="0">
              <a:defRPr sz="1000"/>
            </a:pPr>
            <a:r>
              <a:rPr lang="fr-CA" sz="1000" b="1" i="0" u="none" strike="noStrike" baseline="0">
                <a:solidFill>
                  <a:srgbClr val="FFFFFF"/>
                </a:solidFill>
                <a:latin typeface="Calibri"/>
                <a:cs typeface="Calibri"/>
              </a:rPr>
              <a:t>Feuillet d’information réalisé par le CDPQ</a:t>
            </a:r>
          </a:p>
          <a:p>
            <a:pPr algn="l" rtl="0">
              <a:lnSpc>
                <a:spcPts val="1100"/>
              </a:lnSpc>
              <a:defRPr sz="1000"/>
            </a:pPr>
            <a:endParaRPr lang="fr-CA" sz="1000" b="1" i="0" u="none" strike="noStrike" baseline="0">
              <a:solidFill>
                <a:srgbClr val="FFFFFF"/>
              </a:solidFill>
              <a:latin typeface="Calibri"/>
              <a:cs typeface="Calibri"/>
            </a:endParaRPr>
          </a:p>
        </xdr:txBody>
      </xdr:sp>
      <xdr:sp macro="" textlink="">
        <xdr:nvSpPr>
          <xdr:cNvPr id="9" name="Text Box 35">
            <a:extLst>
              <a:ext uri="{FF2B5EF4-FFF2-40B4-BE49-F238E27FC236}">
                <a16:creationId xmlns:a16="http://schemas.microsoft.com/office/drawing/2014/main" id="{00000000-0008-0000-0100-000009000000}"/>
              </a:ext>
            </a:extLst>
          </xdr:cNvPr>
          <xdr:cNvSpPr txBox="1">
            <a:spLocks noChangeArrowheads="1"/>
          </xdr:cNvSpPr>
        </xdr:nvSpPr>
        <xdr:spPr bwMode="auto">
          <a:xfrm>
            <a:off x="421" y="112"/>
            <a:ext cx="136" cy="53"/>
          </a:xfrm>
          <a:prstGeom prst="rect">
            <a:avLst/>
          </a:prstGeom>
          <a:noFill/>
          <a:ln>
            <a:noFill/>
          </a:ln>
          <a:effectLst/>
        </xdr:spPr>
        <xdr:txBody>
          <a:bodyPr vertOverflow="clip" wrap="square" lIns="36576" tIns="36576" rIns="36576" bIns="36576" anchor="t" upright="1"/>
          <a:lstStyle/>
          <a:p>
            <a:pPr algn="r" rtl="0">
              <a:defRPr sz="1000"/>
            </a:pPr>
            <a:r>
              <a:rPr lang="fr-CA" sz="1300" b="1" i="0" strike="noStrike">
                <a:solidFill>
                  <a:srgbClr val="339966"/>
                </a:solidFill>
                <a:latin typeface="+mn-lt"/>
              </a:rPr>
              <a:t>Novembre</a:t>
            </a:r>
          </a:p>
          <a:p>
            <a:pPr algn="r" rtl="0">
              <a:defRPr sz="1000"/>
            </a:pPr>
            <a:r>
              <a:rPr lang="fr-CA" sz="1300" b="1" i="0" strike="noStrike">
                <a:solidFill>
                  <a:srgbClr val="339966"/>
                </a:solidFill>
                <a:latin typeface="Calibri"/>
              </a:rPr>
              <a:t>2024</a:t>
            </a:r>
          </a:p>
        </xdr:txBody>
      </xdr:sp>
    </xdr:grpSp>
    <xdr:clientData/>
  </xdr:twoCellAnchor>
  <xdr:twoCellAnchor>
    <xdr:from>
      <xdr:col>3</xdr:col>
      <xdr:colOff>314739</xdr:colOff>
      <xdr:row>0</xdr:row>
      <xdr:rowOff>1109870</xdr:rowOff>
    </xdr:from>
    <xdr:to>
      <xdr:col>11</xdr:col>
      <xdr:colOff>168089</xdr:colOff>
      <xdr:row>0</xdr:row>
      <xdr:rowOff>1760744</xdr:rowOff>
    </xdr:to>
    <xdr:sp macro="" textlink="">
      <xdr:nvSpPr>
        <xdr:cNvPr id="4" name="ZoneTexte 3">
          <a:extLst>
            <a:ext uri="{FF2B5EF4-FFF2-40B4-BE49-F238E27FC236}">
              <a16:creationId xmlns:a16="http://schemas.microsoft.com/office/drawing/2014/main" id="{A4530549-2415-410D-A3BA-A8C977AA6983}"/>
            </a:ext>
          </a:extLst>
        </xdr:cNvPr>
        <xdr:cNvSpPr txBox="1"/>
      </xdr:nvSpPr>
      <xdr:spPr>
        <a:xfrm>
          <a:off x="1524974" y="1109870"/>
          <a:ext cx="4806350" cy="650874"/>
        </a:xfrm>
        <a:prstGeom prst="rect">
          <a:avLst/>
        </a:prstGeom>
        <a:solidFill>
          <a:schemeClr val="lt1"/>
        </a:solidFill>
        <a:ln w="9525" cap="sq" cmpd="sng">
          <a:solidFill>
            <a:srgbClr val="008000">
              <a:alpha val="49804"/>
            </a:srgbClr>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lang="fr-CA" sz="1100">
              <a:solidFill>
                <a:sysClr val="windowText" lastClr="000000"/>
              </a:solidFill>
              <a:latin typeface="Arial" panose="020B0604020202020204" pitchFamily="34" charset="0"/>
              <a:cs typeface="Arial" panose="020B0604020202020204" pitchFamily="34" charset="0"/>
            </a:rPr>
            <a:t>Cet onglet </a:t>
          </a:r>
          <a:r>
            <a:rPr lang="fr-CA" sz="1100" u="sng">
              <a:solidFill>
                <a:sysClr val="windowText" lastClr="000000"/>
              </a:solidFill>
              <a:latin typeface="Arial" panose="020B0604020202020204" pitchFamily="34" charset="0"/>
              <a:cs typeface="Arial" panose="020B0604020202020204" pitchFamily="34" charset="0"/>
            </a:rPr>
            <a:t>inclut</a:t>
          </a:r>
          <a:r>
            <a:rPr lang="fr-CA" sz="1100" u="none" baseline="0">
              <a:solidFill>
                <a:sysClr val="windowText" lastClr="000000"/>
              </a:solidFill>
              <a:latin typeface="Arial" panose="020B0604020202020204" pitchFamily="34" charset="0"/>
              <a:cs typeface="Arial" panose="020B0604020202020204" pitchFamily="34" charset="0"/>
            </a:rPr>
            <a:t> </a:t>
          </a:r>
          <a:r>
            <a:rPr lang="fr-CA" sz="1100" baseline="0">
              <a:solidFill>
                <a:sysClr val="windowText" lastClr="000000"/>
              </a:solidFill>
              <a:latin typeface="Arial" panose="020B0604020202020204" pitchFamily="34" charset="0"/>
              <a:cs typeface="Arial" panose="020B0604020202020204" pitchFamily="34" charset="0"/>
            </a:rPr>
            <a:t>l'effet des réductions de prix advenues à partir de mars 2022 au Québec et simule leur impact sur le reste de 2024 et 2025. Consulter l'onglet "Réductions du prix des porcs" pour plus d'informations. </a:t>
          </a:r>
          <a:endParaRPr lang="fr-CA" sz="11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304378</xdr:colOff>
      <xdr:row>0</xdr:row>
      <xdr:rowOff>1061155</xdr:rowOff>
    </xdr:from>
    <xdr:to>
      <xdr:col>6</xdr:col>
      <xdr:colOff>304604</xdr:colOff>
      <xdr:row>0</xdr:row>
      <xdr:rowOff>1337380</xdr:rowOff>
    </xdr:to>
    <xdr:sp macro="" textlink="">
      <xdr:nvSpPr>
        <xdr:cNvPr id="2" name="Text Box 34">
          <a:extLst>
            <a:ext uri="{FF2B5EF4-FFF2-40B4-BE49-F238E27FC236}">
              <a16:creationId xmlns:a16="http://schemas.microsoft.com/office/drawing/2014/main" id="{00000000-0008-0000-0200-000002000000}"/>
            </a:ext>
          </a:extLst>
        </xdr:cNvPr>
        <xdr:cNvSpPr txBox="1">
          <a:spLocks noChangeArrowheads="1"/>
        </xdr:cNvSpPr>
      </xdr:nvSpPr>
      <xdr:spPr bwMode="auto">
        <a:xfrm>
          <a:off x="590128" y="1059250"/>
          <a:ext cx="2838676" cy="280035"/>
        </a:xfrm>
        <a:prstGeom prst="rect">
          <a:avLst/>
        </a:prstGeom>
        <a:noFill/>
        <a:ln>
          <a:noFill/>
        </a:ln>
        <a:effectLst/>
      </xdr:spPr>
      <xdr:txBody>
        <a:bodyPr vertOverflow="clip" wrap="square" lIns="36576" tIns="36576" rIns="36576" bIns="36576" anchor="t" upright="1"/>
        <a:lstStyle/>
        <a:p>
          <a:pPr algn="l" rtl="0">
            <a:defRPr sz="1000"/>
          </a:pPr>
          <a:r>
            <a:rPr lang="fr-CA" sz="1000" b="1" i="0" u="none" strike="noStrike" baseline="0">
              <a:solidFill>
                <a:srgbClr val="FFFFFF"/>
              </a:solidFill>
              <a:latin typeface="Calibri"/>
              <a:cs typeface="Calibri"/>
            </a:rPr>
            <a:t>Feuillet d’information réalisé par le CDPQ</a:t>
          </a:r>
        </a:p>
        <a:p>
          <a:pPr algn="l" rtl="0">
            <a:defRPr sz="1000"/>
          </a:pPr>
          <a:endParaRPr lang="fr-CA" sz="1000" b="1" i="0" u="none" strike="noStrike" baseline="0">
            <a:solidFill>
              <a:srgbClr val="FFFFFF"/>
            </a:solidFill>
            <a:latin typeface="Calibri"/>
            <a:cs typeface="Calibri"/>
          </a:endParaRPr>
        </a:p>
      </xdr:txBody>
    </xdr:sp>
    <xdr:clientData/>
  </xdr:twoCellAnchor>
  <xdr:twoCellAnchor>
    <xdr:from>
      <xdr:col>2</xdr:col>
      <xdr:colOff>0</xdr:colOff>
      <xdr:row>0</xdr:row>
      <xdr:rowOff>0</xdr:rowOff>
    </xdr:from>
    <xdr:to>
      <xdr:col>11</xdr:col>
      <xdr:colOff>1103842</xdr:colOff>
      <xdr:row>0</xdr:row>
      <xdr:rowOff>1762125</xdr:rowOff>
    </xdr:to>
    <xdr:grpSp>
      <xdr:nvGrpSpPr>
        <xdr:cNvPr id="61" name="Group 42">
          <a:extLst>
            <a:ext uri="{FF2B5EF4-FFF2-40B4-BE49-F238E27FC236}">
              <a16:creationId xmlns:a16="http://schemas.microsoft.com/office/drawing/2014/main" id="{4976B45E-4E86-4CD3-96C9-9C483112827E}"/>
            </a:ext>
          </a:extLst>
        </xdr:cNvPr>
        <xdr:cNvGrpSpPr>
          <a:grpSpLocks/>
        </xdr:cNvGrpSpPr>
      </xdr:nvGrpSpPr>
      <xdr:grpSpPr bwMode="auto">
        <a:xfrm>
          <a:off x="338667" y="0"/>
          <a:ext cx="8480425" cy="1762125"/>
          <a:chOff x="1" y="9"/>
          <a:chExt cx="720" cy="187"/>
        </a:xfrm>
      </xdr:grpSpPr>
      <xdr:pic>
        <xdr:nvPicPr>
          <xdr:cNvPr id="62" name="Image 21" descr="bandeau publication">
            <a:extLst>
              <a:ext uri="{FF2B5EF4-FFF2-40B4-BE49-F238E27FC236}">
                <a16:creationId xmlns:a16="http://schemas.microsoft.com/office/drawing/2014/main" id="{D205A658-AAD8-48D4-A7CF-6E13C2E660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9"/>
            <a:ext cx="720" cy="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solidFill>
                  <a:srgbClr val="000000"/>
                </a:solidFill>
                <a:miter lim="800000"/>
                <a:headEnd/>
                <a:tailEnd/>
              </a14:hiddenLine>
            </a:ext>
          </a:extLst>
        </xdr:spPr>
      </xdr:pic>
      <xdr:sp macro="" textlink="">
        <xdr:nvSpPr>
          <xdr:cNvPr id="63" name="Text Box 32">
            <a:extLst>
              <a:ext uri="{FF2B5EF4-FFF2-40B4-BE49-F238E27FC236}">
                <a16:creationId xmlns:a16="http://schemas.microsoft.com/office/drawing/2014/main" id="{11FFB71A-48E1-450F-8C9F-55663A934C15}"/>
              </a:ext>
            </a:extLst>
          </xdr:cNvPr>
          <xdr:cNvSpPr txBox="1">
            <a:spLocks noChangeArrowheads="1"/>
          </xdr:cNvSpPr>
        </xdr:nvSpPr>
        <xdr:spPr bwMode="auto">
          <a:xfrm>
            <a:off x="664" y="118"/>
            <a:ext cx="54" cy="50"/>
          </a:xfrm>
          <a:prstGeom prst="rect">
            <a:avLst/>
          </a:prstGeom>
          <a:noFill/>
          <a:ln>
            <a:noFill/>
          </a:ln>
          <a:effectLst/>
        </xdr:spPr>
        <xdr:txBody>
          <a:bodyPr vertOverflow="clip" wrap="square" lIns="36576" tIns="36576" rIns="36576" bIns="36576" anchor="t" upright="1"/>
          <a:lstStyle/>
          <a:p>
            <a:pPr algn="r" rtl="0">
              <a:lnSpc>
                <a:spcPts val="1300"/>
              </a:lnSpc>
              <a:defRPr sz="1000"/>
            </a:pPr>
            <a:r>
              <a:rPr lang="fr-CA" sz="1300" b="1" i="0" u="none" strike="noStrike" baseline="0">
                <a:solidFill>
                  <a:srgbClr val="339966"/>
                </a:solidFill>
                <a:latin typeface="+mn-lt"/>
                <a:cs typeface="Calibri"/>
              </a:rPr>
              <a:t>Vol. 14</a:t>
            </a:r>
          </a:p>
          <a:p>
            <a:pPr algn="r" rtl="0">
              <a:lnSpc>
                <a:spcPts val="1300"/>
              </a:lnSpc>
              <a:defRPr sz="1000"/>
            </a:pPr>
            <a:r>
              <a:rPr lang="fr-CA" sz="1300" b="1" i="0" u="none" strike="noStrike" baseline="0">
                <a:solidFill>
                  <a:srgbClr val="339966"/>
                </a:solidFill>
                <a:latin typeface="+mn-lt"/>
                <a:cs typeface="Calibri"/>
              </a:rPr>
              <a:t>N</a:t>
            </a:r>
            <a:r>
              <a:rPr lang="fr-CA" sz="1300" b="1" i="0" u="none" strike="noStrike" baseline="30000">
                <a:solidFill>
                  <a:srgbClr val="339966"/>
                </a:solidFill>
                <a:latin typeface="+mn-lt"/>
                <a:cs typeface="Calibri"/>
              </a:rPr>
              <a:t>o</a:t>
            </a:r>
            <a:r>
              <a:rPr lang="fr-CA" sz="1300" b="1" i="0" u="none" strike="noStrike" baseline="0">
                <a:solidFill>
                  <a:srgbClr val="339966"/>
                </a:solidFill>
                <a:latin typeface="+mn-lt"/>
                <a:cs typeface="Calibri"/>
              </a:rPr>
              <a:t> 3</a:t>
            </a:r>
          </a:p>
        </xdr:txBody>
      </xdr:sp>
      <xdr:pic>
        <xdr:nvPicPr>
          <xdr:cNvPr id="64" name="Image 24" descr="CDPQ_RVB">
            <a:extLst>
              <a:ext uri="{FF2B5EF4-FFF2-40B4-BE49-F238E27FC236}">
                <a16:creationId xmlns:a16="http://schemas.microsoft.com/office/drawing/2014/main" id="{DB2AE7BA-CFE9-4602-99A6-3A3CBC717A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118"/>
            <a:ext cx="115" cy="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5" name="Text Box 33">
            <a:extLst>
              <a:ext uri="{FF2B5EF4-FFF2-40B4-BE49-F238E27FC236}">
                <a16:creationId xmlns:a16="http://schemas.microsoft.com/office/drawing/2014/main" id="{6A432E88-4291-488A-9EA2-67ED96A7473C}"/>
              </a:ext>
            </a:extLst>
          </xdr:cNvPr>
          <xdr:cNvSpPr txBox="1">
            <a:spLocks noChangeArrowheads="1"/>
          </xdr:cNvSpPr>
        </xdr:nvSpPr>
        <xdr:spPr bwMode="auto">
          <a:xfrm>
            <a:off x="3" y="26"/>
            <a:ext cx="560" cy="66"/>
          </a:xfrm>
          <a:prstGeom prst="rect">
            <a:avLst/>
          </a:prstGeom>
          <a:noFill/>
          <a:ln>
            <a:noFill/>
          </a:ln>
          <a:effectLst/>
        </xdr:spPr>
        <xdr:txBody>
          <a:bodyPr vertOverflow="clip" wrap="square" lIns="36576" tIns="36576" rIns="36576" bIns="36576" anchor="t" upright="1"/>
          <a:lstStyle/>
          <a:p>
            <a:pPr algn="l" rtl="0">
              <a:defRPr sz="1000"/>
            </a:pPr>
            <a:r>
              <a:rPr lang="fr-CA" sz="1600" b="1" i="0" u="none" strike="noStrike" baseline="0">
                <a:solidFill>
                  <a:srgbClr val="FFFFFF"/>
                </a:solidFill>
                <a:latin typeface="Calibri"/>
                <a:cs typeface="Calibri"/>
              </a:rPr>
              <a:t>Tendances des prix du porc et des aliments</a:t>
            </a:r>
          </a:p>
          <a:p>
            <a:pPr algn="l" rtl="0">
              <a:defRPr sz="1000"/>
            </a:pPr>
            <a:r>
              <a:rPr lang="fr-CA" sz="1600" b="1" i="0" u="none" strike="noStrike" baseline="0">
                <a:solidFill>
                  <a:srgbClr val="FFFFFF"/>
                </a:solidFill>
                <a:latin typeface="Calibri"/>
                <a:cs typeface="Calibri"/>
              </a:rPr>
              <a:t>et prévision des compensations ASRA en production porcine</a:t>
            </a:r>
          </a:p>
          <a:p>
            <a:pPr algn="l" rtl="0">
              <a:defRPr sz="1000"/>
            </a:pPr>
            <a:endParaRPr lang="fr-CA" sz="1600" b="1" i="0" u="none" strike="noStrike" baseline="0">
              <a:solidFill>
                <a:srgbClr val="FFFFFF"/>
              </a:solidFill>
              <a:latin typeface="Calibri"/>
              <a:cs typeface="Calibri"/>
            </a:endParaRPr>
          </a:p>
        </xdr:txBody>
      </xdr:sp>
      <xdr:sp macro="" textlink="">
        <xdr:nvSpPr>
          <xdr:cNvPr id="66" name="Text Box 34">
            <a:extLst>
              <a:ext uri="{FF2B5EF4-FFF2-40B4-BE49-F238E27FC236}">
                <a16:creationId xmlns:a16="http://schemas.microsoft.com/office/drawing/2014/main" id="{8584E121-5FD1-4439-81E6-47A98A48B31B}"/>
              </a:ext>
            </a:extLst>
          </xdr:cNvPr>
          <xdr:cNvSpPr txBox="1">
            <a:spLocks noChangeArrowheads="1"/>
          </xdr:cNvSpPr>
        </xdr:nvSpPr>
        <xdr:spPr bwMode="auto">
          <a:xfrm>
            <a:off x="5" y="84"/>
            <a:ext cx="289" cy="34"/>
          </a:xfrm>
          <a:prstGeom prst="rect">
            <a:avLst/>
          </a:prstGeom>
          <a:noFill/>
          <a:ln>
            <a:noFill/>
          </a:ln>
          <a:effectLst/>
        </xdr:spPr>
        <xdr:txBody>
          <a:bodyPr vertOverflow="clip" wrap="square" lIns="36576" tIns="36576" rIns="36576" bIns="36576" anchor="t" upright="1"/>
          <a:lstStyle/>
          <a:p>
            <a:pPr algn="l" rtl="0">
              <a:defRPr sz="1000"/>
            </a:pPr>
            <a:r>
              <a:rPr lang="fr-CA" sz="1000" b="1" i="0" u="none" strike="noStrike" baseline="0">
                <a:solidFill>
                  <a:srgbClr val="FFFFFF"/>
                </a:solidFill>
                <a:latin typeface="Calibri"/>
                <a:cs typeface="Calibri"/>
              </a:rPr>
              <a:t>Feuillet d’information réalisé par le CDPQ</a:t>
            </a:r>
          </a:p>
          <a:p>
            <a:pPr algn="l" rtl="0">
              <a:lnSpc>
                <a:spcPts val="1100"/>
              </a:lnSpc>
              <a:defRPr sz="1000"/>
            </a:pPr>
            <a:endParaRPr lang="fr-CA" sz="1000" b="1" i="0" u="none" strike="noStrike" baseline="0">
              <a:solidFill>
                <a:srgbClr val="FFFFFF"/>
              </a:solidFill>
              <a:latin typeface="Calibri"/>
              <a:cs typeface="Calibri"/>
            </a:endParaRPr>
          </a:p>
        </xdr:txBody>
      </xdr:sp>
      <xdr:sp macro="" textlink="">
        <xdr:nvSpPr>
          <xdr:cNvPr id="67" name="Text Box 35">
            <a:extLst>
              <a:ext uri="{FF2B5EF4-FFF2-40B4-BE49-F238E27FC236}">
                <a16:creationId xmlns:a16="http://schemas.microsoft.com/office/drawing/2014/main" id="{EE4C9379-548E-40F7-8BB9-0F1C6C042004}"/>
              </a:ext>
            </a:extLst>
          </xdr:cNvPr>
          <xdr:cNvSpPr txBox="1">
            <a:spLocks noChangeArrowheads="1"/>
          </xdr:cNvSpPr>
        </xdr:nvSpPr>
        <xdr:spPr bwMode="auto">
          <a:xfrm>
            <a:off x="438" y="114"/>
            <a:ext cx="118" cy="55"/>
          </a:xfrm>
          <a:prstGeom prst="rect">
            <a:avLst/>
          </a:prstGeom>
          <a:noFill/>
          <a:ln>
            <a:noFill/>
          </a:ln>
          <a:effectLst/>
        </xdr:spPr>
        <xdr:txBody>
          <a:bodyPr vertOverflow="clip" wrap="square" lIns="36576" tIns="36576" rIns="36576" bIns="36576" anchor="t" upright="1"/>
          <a:lstStyle/>
          <a:p>
            <a:pPr algn="r" rtl="0">
              <a:defRPr sz="1000"/>
            </a:pPr>
            <a:r>
              <a:rPr lang="fr-CA" sz="1300" b="1" i="0" strike="noStrike">
                <a:solidFill>
                  <a:srgbClr val="339966"/>
                </a:solidFill>
                <a:latin typeface="+mn-lt"/>
                <a:ea typeface="+mn-ea"/>
                <a:cs typeface="+mn-cs"/>
              </a:rPr>
              <a:t>Novembre</a:t>
            </a:r>
          </a:p>
          <a:p>
            <a:pPr algn="r" rtl="0">
              <a:defRPr sz="1000"/>
            </a:pPr>
            <a:r>
              <a:rPr lang="fr-CA" sz="1300" b="1" i="0" strike="noStrike">
                <a:solidFill>
                  <a:srgbClr val="339966"/>
                </a:solidFill>
                <a:latin typeface="+mn-lt"/>
              </a:rPr>
              <a:t>2024</a:t>
            </a:r>
          </a:p>
        </xdr:txBody>
      </xdr:sp>
    </xdr:grpSp>
    <xdr:clientData/>
  </xdr:twoCellAnchor>
  <xdr:twoCellAnchor>
    <xdr:from>
      <xdr:col>5</xdr:col>
      <xdr:colOff>647700</xdr:colOff>
      <xdr:row>3</xdr:row>
      <xdr:rowOff>133349</xdr:rowOff>
    </xdr:from>
    <xdr:to>
      <xdr:col>11</xdr:col>
      <xdr:colOff>516835</xdr:colOff>
      <xdr:row>50</xdr:row>
      <xdr:rowOff>183666</xdr:rowOff>
    </xdr:to>
    <xdr:sp macro="" textlink="">
      <xdr:nvSpPr>
        <xdr:cNvPr id="4" name="ZoneTexte 3">
          <a:extLst>
            <a:ext uri="{FF2B5EF4-FFF2-40B4-BE49-F238E27FC236}">
              <a16:creationId xmlns:a16="http://schemas.microsoft.com/office/drawing/2014/main" id="{2496CCE6-B7A8-41BB-B44B-937154F86C59}"/>
            </a:ext>
          </a:extLst>
        </xdr:cNvPr>
        <xdr:cNvSpPr txBox="1"/>
      </xdr:nvSpPr>
      <xdr:spPr>
        <a:xfrm>
          <a:off x="4152900" y="2285999"/>
          <a:ext cx="4079185" cy="939434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CA" sz="1100" b="0"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 explicative :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CA" sz="11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fr-CA"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calculs du Tendance des prix tiennent compte des réductions déjà en vigueur et anticipées concernant le prix des porcs. Dans cet onglet, vous trouverez leur valeur en pourcentage et le prix des porcs si elles n'avaient pas été appliquées.</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fr-CA"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fr-CA"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Cet onglet a donc pour but d'indiquer l'effet des coupures temporaires au prix des porcs qui découlent de diverses situations en 2024 et 2025.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fr-CA" sz="11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fr-CA"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Entre autres facteurs, depuis le 24 mars 2022, l'abattoir de Princeville, propriété d'Olymel, a cessé d'abattre des porcs. À cela s'est ajouté la fermeture de l'abattoir de Vallée Jonction en décembre 2023. À la suite de la diminution de la capacité d’abattage, le coût du détournement de ces porcs est assumé collectivement par les éleveurs de porcs du Québec.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CA" sz="11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CA"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Voici les modalités sommaires appliquées dans cette édition :</a:t>
          </a:r>
        </a:p>
        <a:p>
          <a:pPr marL="228600" marR="0" lvl="0" indent="-228600" algn="just" defTabSz="914400" eaLnBrk="1" fontAlgn="auto" latinLnBrk="0" hangingPunct="1">
            <a:lnSpc>
              <a:spcPct val="100000"/>
            </a:lnSpc>
            <a:spcBef>
              <a:spcPts val="0"/>
            </a:spcBef>
            <a:spcAft>
              <a:spcPts val="0"/>
            </a:spcAft>
            <a:buClrTx/>
            <a:buSzTx/>
            <a:buFont typeface="+mj-lt"/>
            <a:buAutoNum type="arabicPeriod"/>
            <a:tabLst/>
            <a:defRPr/>
          </a:pPr>
          <a:r>
            <a:rPr kumimoji="0" lang="fr-CA"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Depuis la fin de février 2022, un </a:t>
          </a:r>
          <a:r>
            <a:rPr kumimoji="0" lang="fr-CA" sz="1100" b="0" i="0" u="none" strike="noStrike" kern="0" cap="none" spc="0" normalizeH="0" baseline="0" noProof="0">
              <a:ln>
                <a:noFill/>
              </a:ln>
              <a:solidFill>
                <a:schemeClr val="accent6">
                  <a:lumMod val="50000"/>
                </a:schemeClr>
              </a:solidFill>
              <a:effectLst/>
              <a:uLnTx/>
              <a:uFillTx/>
              <a:latin typeface="Arial" panose="020B0604020202020204" pitchFamily="34" charset="0"/>
              <a:ea typeface="+mn-ea"/>
              <a:cs typeface="Arial" panose="020B0604020202020204" pitchFamily="34" charset="0"/>
            </a:rPr>
            <a:t>coût de détournement des porcs </a:t>
          </a:r>
          <a:r>
            <a:rPr kumimoji="0" lang="fr-CA"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sur d’autres marchés s'applique sur le prix de pool. À partir de mai 2024, nous avons appliqué une valeur estimative pour chaque mois. La durée de cette mesure de même que son ampleur demeurent inconnues.</a:t>
          </a:r>
        </a:p>
        <a:p>
          <a:pPr marL="228600" marR="0" lvl="0" indent="-228600" algn="just" defTabSz="914400" eaLnBrk="1" fontAlgn="auto" latinLnBrk="0" hangingPunct="1">
            <a:lnSpc>
              <a:spcPct val="100000"/>
            </a:lnSpc>
            <a:spcBef>
              <a:spcPts val="0"/>
            </a:spcBef>
            <a:spcAft>
              <a:spcPts val="0"/>
            </a:spcAft>
            <a:buClrTx/>
            <a:buSzTx/>
            <a:buFont typeface="+mj-lt"/>
            <a:buAutoNum type="arabicPeriod"/>
            <a:tabLst/>
            <a:defRPr/>
          </a:pPr>
          <a:endParaRPr kumimoji="0" lang="fr-CA"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252000" marR="0" lvl="0" indent="0" algn="just" defTabSz="914400" eaLnBrk="1" fontAlgn="auto" latinLnBrk="0" hangingPunct="1">
            <a:lnSpc>
              <a:spcPct val="100000"/>
            </a:lnSpc>
            <a:spcBef>
              <a:spcPts val="0"/>
            </a:spcBef>
            <a:spcAft>
              <a:spcPts val="0"/>
            </a:spcAft>
            <a:buClrTx/>
            <a:buSzTx/>
            <a:buFontTx/>
            <a:buNone/>
            <a:tabLst/>
            <a:defRPr/>
          </a:pPr>
          <a:r>
            <a:rPr kumimoji="0" lang="fr-CA" sz="1100" b="0" i="0" u="sng" strike="noStrike" kern="0" cap="none" spc="0" normalizeH="0" baseline="0" noProof="0">
              <a:ln>
                <a:noFill/>
              </a:ln>
              <a:solidFill>
                <a:schemeClr val="accent6">
                  <a:lumMod val="50000"/>
                </a:schemeClr>
              </a:solidFill>
              <a:effectLst/>
              <a:uLnTx/>
              <a:uFillTx/>
              <a:latin typeface="Arial" panose="020B0604020202020204" pitchFamily="34" charset="0"/>
              <a:ea typeface="+mn-ea"/>
              <a:cs typeface="Arial" panose="020B0604020202020204" pitchFamily="34" charset="0"/>
            </a:rPr>
            <a:t>Nous avons utilisé un montant arbitraire de 1,75 $/100 kg en novembre et décembre 2024 ainsi qu'un montant de 1 $/100 kg en janvier 2025.</a:t>
          </a:r>
        </a:p>
        <a:p>
          <a:pPr marL="228600" marR="0" lvl="0" indent="-228600" algn="just" defTabSz="914400" eaLnBrk="1" fontAlgn="auto" latinLnBrk="0" hangingPunct="1">
            <a:lnSpc>
              <a:spcPct val="100000"/>
            </a:lnSpc>
            <a:spcBef>
              <a:spcPts val="0"/>
            </a:spcBef>
            <a:spcAft>
              <a:spcPts val="0"/>
            </a:spcAft>
            <a:buClrTx/>
            <a:buSzTx/>
            <a:buFont typeface="+mj-lt"/>
            <a:buAutoNum type="arabicPeriod"/>
            <a:tabLst/>
            <a:defRPr/>
          </a:pPr>
          <a:endParaRPr kumimoji="0" lang="fr-CA" sz="1100" b="0" i="0" u="none" strike="noStrike" kern="0" cap="none" spc="0" normalizeH="0" baseline="0" noProof="0">
            <a:ln>
              <a:noFill/>
            </a:ln>
            <a:solidFill>
              <a:srgbClr val="F79646">
                <a:lumMod val="50000"/>
              </a:srgbClr>
            </a:solidFill>
            <a:effectLst/>
            <a:uLnTx/>
            <a:uFillTx/>
            <a:latin typeface="Arial" panose="020B0604020202020204" pitchFamily="34" charset="0"/>
            <a:ea typeface="+mn-ea"/>
            <a:cs typeface="Arial" panose="020B0604020202020204" pitchFamily="34" charset="0"/>
          </a:endParaRPr>
        </a:p>
        <a:p>
          <a:pPr marL="228600" marR="0" lvl="0" indent="-228600" algn="just" defTabSz="914400" eaLnBrk="1" fontAlgn="auto" latinLnBrk="0" hangingPunct="1">
            <a:lnSpc>
              <a:spcPct val="100000"/>
            </a:lnSpc>
            <a:spcBef>
              <a:spcPts val="0"/>
            </a:spcBef>
            <a:spcAft>
              <a:spcPts val="0"/>
            </a:spcAft>
            <a:buClrTx/>
            <a:buSzTx/>
            <a:buFont typeface="+mj-lt"/>
            <a:buAutoNum type="arabicPeriod" startAt="3"/>
            <a:tabLst/>
            <a:defRPr/>
          </a:pPr>
          <a:r>
            <a:rPr kumimoji="0" lang="fr-CA" sz="1100" b="0" i="0" u="none" strike="noStrike" kern="0" cap="none" spc="0" normalizeH="0" baseline="0" noProof="0">
              <a:ln>
                <a:noFill/>
              </a:ln>
              <a:solidFill>
                <a:srgbClr val="F79646">
                  <a:lumMod val="50000"/>
                </a:srgbClr>
              </a:solidFill>
              <a:effectLst/>
              <a:uLnTx/>
              <a:uFillTx/>
              <a:latin typeface="Arial" panose="020B0604020202020204" pitchFamily="34" charset="0"/>
              <a:ea typeface="+mn-ea"/>
              <a:cs typeface="Arial" panose="020B0604020202020204" pitchFamily="34" charset="0"/>
            </a:rPr>
            <a:t>Le mécanisme de retrait temporaire n'est plus calculé ici. </a:t>
          </a:r>
          <a:r>
            <a:rPr kumimoji="0" lang="fr-CA"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Visant à diminuer la production de porcs de l'ordre d'un million de têtes par année, ce programme volontaire devait être financé avec un prélèvement de 2,49 $/100 kg carcasse pendant cinq ans. Cette mesure, approuvée par la Régie des marchés agricoles et agroalimentaires du Québec, est entrée en vigueur le 23 août 2023 et a pris fin le 5 octobre 2024. </a:t>
          </a:r>
        </a:p>
        <a:p>
          <a:pPr marL="228600" marR="0" lvl="0" indent="-228600" algn="just" defTabSz="914400" eaLnBrk="1" fontAlgn="auto" latinLnBrk="0" hangingPunct="1">
            <a:lnSpc>
              <a:spcPct val="100000"/>
            </a:lnSpc>
            <a:spcBef>
              <a:spcPts val="0"/>
            </a:spcBef>
            <a:spcAft>
              <a:spcPts val="0"/>
            </a:spcAft>
            <a:buClrTx/>
            <a:buSzTx/>
            <a:buFont typeface="+mj-lt"/>
            <a:buAutoNum type="arabicPeriod" startAt="3"/>
            <a:tabLst/>
            <a:defRPr/>
          </a:pPr>
          <a:endParaRPr kumimoji="0" lang="fr-CA" sz="1100" b="0"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252000" marR="0" lvl="0" indent="0" algn="just" defTabSz="914400" eaLnBrk="1" fontAlgn="auto" latinLnBrk="0" hangingPunct="1">
            <a:lnSpc>
              <a:spcPct val="100000"/>
            </a:lnSpc>
            <a:spcBef>
              <a:spcPts val="0"/>
            </a:spcBef>
            <a:spcAft>
              <a:spcPts val="0"/>
            </a:spcAft>
            <a:buClrTx/>
            <a:buSzTx/>
            <a:buFontTx/>
            <a:buNone/>
            <a:tabLst/>
            <a:defRPr/>
          </a:pPr>
          <a:r>
            <a:rPr kumimoji="0" lang="fr-CA"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Or, ce prélèvement a été intégré dans le coût de production indexé 2023 de la ferme porcine naisseur-finisseur publié par la FADQ, de même que dans les données du Tendance pour l'année 2023 (quatre mois d'application vu son entrée en vigueur en août). De même, votre prix de 2023 tient déjà compte de ce prélèvement. Enfin, cette réduction n'affecte pas les prévisions de novembre et décembre 2024 puisqu'elle n'est plus en vigueur.  </a:t>
          </a:r>
        </a:p>
        <a:p>
          <a:pPr marL="252000" marR="0" lvl="0" indent="0" algn="just" defTabSz="914400" eaLnBrk="1" fontAlgn="auto" latinLnBrk="0" hangingPunct="1">
            <a:lnSpc>
              <a:spcPct val="100000"/>
            </a:lnSpc>
            <a:spcBef>
              <a:spcPts val="0"/>
            </a:spcBef>
            <a:spcAft>
              <a:spcPts val="0"/>
            </a:spcAft>
            <a:buClrTx/>
            <a:buSzTx/>
            <a:buFontTx/>
            <a:buNone/>
            <a:tabLst/>
            <a:defRPr/>
          </a:pPr>
          <a:endParaRPr kumimoji="0" lang="fr-CA" sz="1100" b="0"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252000" marR="0" lvl="0" indent="0" algn="just" defTabSz="914400" eaLnBrk="1" fontAlgn="auto" latinLnBrk="0" hangingPunct="1">
            <a:lnSpc>
              <a:spcPct val="100000"/>
            </a:lnSpc>
            <a:spcBef>
              <a:spcPts val="0"/>
            </a:spcBef>
            <a:spcAft>
              <a:spcPts val="0"/>
            </a:spcAft>
            <a:buClrTx/>
            <a:buSzTx/>
            <a:buFontTx/>
            <a:buNone/>
            <a:tabLst/>
            <a:defRPr/>
          </a:pPr>
          <a:r>
            <a:rPr kumimoji="0" lang="fr-CA" sz="1100" b="0"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Par conséquent, cette réduction du prix des porcs est déjà tenue en compte dans l'estimation de l'écart entre le revenu du marché et le revenu stabilisé ajusté de la feuille "Détails ASRA" pour l'année 2024. Elle n'est donc plus incluse dans cette feuille.  </a:t>
          </a:r>
        </a:p>
        <a:p>
          <a:pPr marL="228600" marR="0" lvl="0" indent="-228600" algn="just" defTabSz="914400" eaLnBrk="1" fontAlgn="auto" latinLnBrk="0" hangingPunct="1">
            <a:lnSpc>
              <a:spcPct val="100000"/>
            </a:lnSpc>
            <a:spcBef>
              <a:spcPts val="0"/>
            </a:spcBef>
            <a:spcAft>
              <a:spcPts val="0"/>
            </a:spcAft>
            <a:buClrTx/>
            <a:buSzTx/>
            <a:buFont typeface="+mj-lt"/>
            <a:buAutoNum type="arabicPeriod" startAt="3"/>
            <a:tabLst/>
            <a:defRPr/>
          </a:pPr>
          <a:endParaRPr kumimoji="0" lang="fr-CA" sz="11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304378</xdr:colOff>
      <xdr:row>0</xdr:row>
      <xdr:rowOff>1061155</xdr:rowOff>
    </xdr:from>
    <xdr:to>
      <xdr:col>6</xdr:col>
      <xdr:colOff>304604</xdr:colOff>
      <xdr:row>0</xdr:row>
      <xdr:rowOff>1337380</xdr:rowOff>
    </xdr:to>
    <xdr:sp macro="" textlink="">
      <xdr:nvSpPr>
        <xdr:cNvPr id="2" name="Text Box 34">
          <a:extLst>
            <a:ext uri="{FF2B5EF4-FFF2-40B4-BE49-F238E27FC236}">
              <a16:creationId xmlns:a16="http://schemas.microsoft.com/office/drawing/2014/main" id="{00000000-0008-0000-0300-000002000000}"/>
            </a:ext>
          </a:extLst>
        </xdr:cNvPr>
        <xdr:cNvSpPr txBox="1">
          <a:spLocks noChangeArrowheads="1"/>
        </xdr:cNvSpPr>
      </xdr:nvSpPr>
      <xdr:spPr bwMode="auto">
        <a:xfrm>
          <a:off x="674583" y="1061155"/>
          <a:ext cx="2667226" cy="276225"/>
        </a:xfrm>
        <a:prstGeom prst="rect">
          <a:avLst/>
        </a:prstGeom>
        <a:noFill/>
        <a:ln>
          <a:noFill/>
        </a:ln>
        <a:effectLst/>
      </xdr:spPr>
      <xdr:txBody>
        <a:bodyPr vertOverflow="clip" wrap="square" lIns="36576" tIns="36576" rIns="36576" bIns="36576" anchor="t" upright="1"/>
        <a:lstStyle/>
        <a:p>
          <a:pPr algn="l" rtl="0">
            <a:defRPr sz="1000"/>
          </a:pPr>
          <a:r>
            <a:rPr lang="fr-CA" sz="1000" b="1" i="0" u="none" strike="noStrike" baseline="0">
              <a:solidFill>
                <a:srgbClr val="FFFFFF"/>
              </a:solidFill>
              <a:latin typeface="Calibri"/>
              <a:cs typeface="Calibri"/>
            </a:rPr>
            <a:t>Feuillet d’information réalisé par le CDPQ</a:t>
          </a:r>
        </a:p>
        <a:p>
          <a:pPr algn="l" rtl="0">
            <a:defRPr sz="1000"/>
          </a:pPr>
          <a:endParaRPr lang="fr-CA" sz="1000" b="1" i="0" u="none" strike="noStrike" baseline="0">
            <a:solidFill>
              <a:srgbClr val="FFFFFF"/>
            </a:solidFill>
            <a:latin typeface="Calibri"/>
            <a:cs typeface="Calibri"/>
          </a:endParaRPr>
        </a:p>
      </xdr:txBody>
    </xdr:sp>
    <xdr:clientData/>
  </xdr:twoCellAnchor>
  <xdr:twoCellAnchor>
    <xdr:from>
      <xdr:col>2</xdr:col>
      <xdr:colOff>142875</xdr:colOff>
      <xdr:row>0</xdr:row>
      <xdr:rowOff>38100</xdr:rowOff>
    </xdr:from>
    <xdr:to>
      <xdr:col>13</xdr:col>
      <xdr:colOff>590550</xdr:colOff>
      <xdr:row>0</xdr:row>
      <xdr:rowOff>1800225</xdr:rowOff>
    </xdr:to>
    <xdr:grpSp>
      <xdr:nvGrpSpPr>
        <xdr:cNvPr id="47662" name="Group 42">
          <a:extLst>
            <a:ext uri="{FF2B5EF4-FFF2-40B4-BE49-F238E27FC236}">
              <a16:creationId xmlns:a16="http://schemas.microsoft.com/office/drawing/2014/main" id="{00000000-0008-0000-0300-00002EBA0000}"/>
            </a:ext>
          </a:extLst>
        </xdr:cNvPr>
        <xdr:cNvGrpSpPr>
          <a:grpSpLocks/>
        </xdr:cNvGrpSpPr>
      </xdr:nvGrpSpPr>
      <xdr:grpSpPr bwMode="auto">
        <a:xfrm>
          <a:off x="439208" y="38100"/>
          <a:ext cx="8120592" cy="1762125"/>
          <a:chOff x="1" y="9"/>
          <a:chExt cx="720" cy="187"/>
        </a:xfrm>
      </xdr:grpSpPr>
      <xdr:pic>
        <xdr:nvPicPr>
          <xdr:cNvPr id="47663" name="Image 21" descr="bandeau publication">
            <a:extLst>
              <a:ext uri="{FF2B5EF4-FFF2-40B4-BE49-F238E27FC236}">
                <a16:creationId xmlns:a16="http://schemas.microsoft.com/office/drawing/2014/main" id="{00000000-0008-0000-0300-00002FB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9"/>
            <a:ext cx="720" cy="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8100">
                <a:solidFill>
                  <a:srgbClr val="000000"/>
                </a:solidFill>
                <a:miter lim="800000"/>
                <a:headEnd/>
                <a:tailEnd/>
              </a14:hiddenLine>
            </a:ext>
          </a:extLst>
        </xdr:spPr>
      </xdr:pic>
      <xdr:sp macro="" textlink="">
        <xdr:nvSpPr>
          <xdr:cNvPr id="5" name="Text Box 32">
            <a:extLst>
              <a:ext uri="{FF2B5EF4-FFF2-40B4-BE49-F238E27FC236}">
                <a16:creationId xmlns:a16="http://schemas.microsoft.com/office/drawing/2014/main" id="{00000000-0008-0000-0300-000005000000}"/>
              </a:ext>
            </a:extLst>
          </xdr:cNvPr>
          <xdr:cNvSpPr txBox="1">
            <a:spLocks noChangeArrowheads="1"/>
          </xdr:cNvSpPr>
        </xdr:nvSpPr>
        <xdr:spPr bwMode="auto">
          <a:xfrm>
            <a:off x="666" y="113"/>
            <a:ext cx="54" cy="50"/>
          </a:xfrm>
          <a:prstGeom prst="rect">
            <a:avLst/>
          </a:prstGeom>
          <a:noFill/>
          <a:ln>
            <a:noFill/>
          </a:ln>
          <a:effectLst/>
        </xdr:spPr>
        <xdr:txBody>
          <a:bodyPr vertOverflow="clip" wrap="square" lIns="36576" tIns="36576" rIns="36576" bIns="36576" anchor="t" upright="1"/>
          <a:lstStyle/>
          <a:p>
            <a:pPr algn="r" rtl="0">
              <a:lnSpc>
                <a:spcPts val="1300"/>
              </a:lnSpc>
              <a:defRPr sz="1000"/>
            </a:pPr>
            <a:r>
              <a:rPr lang="fr-CA" sz="1300" b="1" i="0" u="none" strike="noStrike" baseline="0">
                <a:solidFill>
                  <a:srgbClr val="339966"/>
                </a:solidFill>
                <a:latin typeface="+mn-lt"/>
                <a:cs typeface="Calibri"/>
              </a:rPr>
              <a:t>Vol. 14</a:t>
            </a:r>
          </a:p>
          <a:p>
            <a:pPr algn="r" rtl="0">
              <a:lnSpc>
                <a:spcPts val="1300"/>
              </a:lnSpc>
              <a:defRPr sz="1000"/>
            </a:pPr>
            <a:r>
              <a:rPr lang="fr-CA" sz="1300" b="1" i="0" u="none" strike="noStrike" baseline="0">
                <a:solidFill>
                  <a:srgbClr val="339966"/>
                </a:solidFill>
                <a:latin typeface="+mn-lt"/>
                <a:cs typeface="Calibri"/>
              </a:rPr>
              <a:t>N</a:t>
            </a:r>
            <a:r>
              <a:rPr lang="fr-CA" sz="1300" b="1" i="0" u="none" strike="noStrike" baseline="30000">
                <a:solidFill>
                  <a:srgbClr val="339966"/>
                </a:solidFill>
                <a:latin typeface="+mn-lt"/>
                <a:cs typeface="Calibri"/>
              </a:rPr>
              <a:t>o</a:t>
            </a:r>
            <a:r>
              <a:rPr lang="fr-CA" sz="1300" b="1" i="0" u="none" strike="noStrike" baseline="0">
                <a:solidFill>
                  <a:srgbClr val="339966"/>
                </a:solidFill>
                <a:latin typeface="+mn-lt"/>
                <a:cs typeface="Calibri"/>
              </a:rPr>
              <a:t> 3</a:t>
            </a:r>
          </a:p>
        </xdr:txBody>
      </xdr:sp>
      <xdr:pic>
        <xdr:nvPicPr>
          <xdr:cNvPr id="47665" name="Image 24" descr="CDPQ_RVB">
            <a:extLst>
              <a:ext uri="{FF2B5EF4-FFF2-40B4-BE49-F238E27FC236}">
                <a16:creationId xmlns:a16="http://schemas.microsoft.com/office/drawing/2014/main" id="{00000000-0008-0000-0300-000031B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118"/>
            <a:ext cx="115" cy="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Text Box 33">
            <a:extLst>
              <a:ext uri="{FF2B5EF4-FFF2-40B4-BE49-F238E27FC236}">
                <a16:creationId xmlns:a16="http://schemas.microsoft.com/office/drawing/2014/main" id="{00000000-0008-0000-0300-000007000000}"/>
              </a:ext>
            </a:extLst>
          </xdr:cNvPr>
          <xdr:cNvSpPr txBox="1">
            <a:spLocks noChangeArrowheads="1"/>
          </xdr:cNvSpPr>
        </xdr:nvSpPr>
        <xdr:spPr bwMode="auto">
          <a:xfrm>
            <a:off x="3" y="26"/>
            <a:ext cx="560" cy="66"/>
          </a:xfrm>
          <a:prstGeom prst="rect">
            <a:avLst/>
          </a:prstGeom>
          <a:noFill/>
          <a:ln>
            <a:noFill/>
          </a:ln>
          <a:effectLst/>
        </xdr:spPr>
        <xdr:txBody>
          <a:bodyPr vertOverflow="clip" wrap="square" lIns="36576" tIns="36576" rIns="36576" bIns="36576" anchor="t" upright="1"/>
          <a:lstStyle/>
          <a:p>
            <a:pPr algn="l" rtl="0">
              <a:defRPr sz="1000"/>
            </a:pPr>
            <a:r>
              <a:rPr lang="fr-CA" sz="1600" b="1" i="0" u="none" strike="noStrike" baseline="0">
                <a:solidFill>
                  <a:srgbClr val="FFFFFF"/>
                </a:solidFill>
                <a:latin typeface="Calibri"/>
                <a:cs typeface="Calibri"/>
              </a:rPr>
              <a:t>Tendances des prix du porc et des aliments</a:t>
            </a:r>
          </a:p>
          <a:p>
            <a:pPr algn="l" rtl="0">
              <a:defRPr sz="1000"/>
            </a:pPr>
            <a:r>
              <a:rPr lang="fr-CA" sz="1600" b="1" i="0" u="none" strike="noStrike" baseline="0">
                <a:solidFill>
                  <a:srgbClr val="FFFFFF"/>
                </a:solidFill>
                <a:latin typeface="Calibri"/>
                <a:cs typeface="Calibri"/>
              </a:rPr>
              <a:t>et prévision des compensations ASRA en production porcine</a:t>
            </a:r>
          </a:p>
          <a:p>
            <a:pPr algn="l" rtl="0">
              <a:defRPr sz="1000"/>
            </a:pPr>
            <a:endParaRPr lang="fr-CA" sz="1600" b="1" i="0" u="none" strike="noStrike" baseline="0">
              <a:solidFill>
                <a:srgbClr val="FFFFFF"/>
              </a:solidFill>
              <a:latin typeface="Calibri"/>
              <a:cs typeface="Calibri"/>
            </a:endParaRPr>
          </a:p>
        </xdr:txBody>
      </xdr:sp>
      <xdr:sp macro="" textlink="">
        <xdr:nvSpPr>
          <xdr:cNvPr id="8" name="Text Box 34">
            <a:extLst>
              <a:ext uri="{FF2B5EF4-FFF2-40B4-BE49-F238E27FC236}">
                <a16:creationId xmlns:a16="http://schemas.microsoft.com/office/drawing/2014/main" id="{00000000-0008-0000-0300-000008000000}"/>
              </a:ext>
            </a:extLst>
          </xdr:cNvPr>
          <xdr:cNvSpPr txBox="1">
            <a:spLocks noChangeArrowheads="1"/>
          </xdr:cNvSpPr>
        </xdr:nvSpPr>
        <xdr:spPr bwMode="auto">
          <a:xfrm>
            <a:off x="5" y="84"/>
            <a:ext cx="289" cy="34"/>
          </a:xfrm>
          <a:prstGeom prst="rect">
            <a:avLst/>
          </a:prstGeom>
          <a:noFill/>
          <a:ln>
            <a:noFill/>
          </a:ln>
          <a:effectLst/>
        </xdr:spPr>
        <xdr:txBody>
          <a:bodyPr vertOverflow="clip" wrap="square" lIns="36576" tIns="36576" rIns="36576" bIns="36576" anchor="t" upright="1"/>
          <a:lstStyle/>
          <a:p>
            <a:pPr algn="l" rtl="0">
              <a:defRPr sz="1000"/>
            </a:pPr>
            <a:r>
              <a:rPr lang="fr-CA" sz="1000" b="1" i="0" u="none" strike="noStrike" baseline="0">
                <a:solidFill>
                  <a:srgbClr val="FFFFFF"/>
                </a:solidFill>
                <a:latin typeface="Calibri"/>
                <a:cs typeface="Calibri"/>
              </a:rPr>
              <a:t>Feuillet d’information réalisé par le CDPQ</a:t>
            </a:r>
          </a:p>
          <a:p>
            <a:pPr algn="l" rtl="0">
              <a:lnSpc>
                <a:spcPts val="1100"/>
              </a:lnSpc>
              <a:defRPr sz="1000"/>
            </a:pPr>
            <a:endParaRPr lang="fr-CA" sz="1000" b="1" i="0" u="none" strike="noStrike" baseline="0">
              <a:solidFill>
                <a:srgbClr val="FFFFFF"/>
              </a:solidFill>
              <a:latin typeface="Calibri"/>
              <a:cs typeface="Calibri"/>
            </a:endParaRPr>
          </a:p>
        </xdr:txBody>
      </xdr:sp>
      <xdr:sp macro="" textlink="">
        <xdr:nvSpPr>
          <xdr:cNvPr id="9" name="Text Box 35">
            <a:extLst>
              <a:ext uri="{FF2B5EF4-FFF2-40B4-BE49-F238E27FC236}">
                <a16:creationId xmlns:a16="http://schemas.microsoft.com/office/drawing/2014/main" id="{00000000-0008-0000-0300-000009000000}"/>
              </a:ext>
            </a:extLst>
          </xdr:cNvPr>
          <xdr:cNvSpPr txBox="1">
            <a:spLocks noChangeArrowheads="1"/>
          </xdr:cNvSpPr>
        </xdr:nvSpPr>
        <xdr:spPr bwMode="auto">
          <a:xfrm>
            <a:off x="432" y="111"/>
            <a:ext cx="118" cy="55"/>
          </a:xfrm>
          <a:prstGeom prst="rect">
            <a:avLst/>
          </a:prstGeom>
          <a:noFill/>
          <a:ln>
            <a:noFill/>
          </a:ln>
          <a:effectLst/>
        </xdr:spPr>
        <xdr:txBody>
          <a:bodyPr vertOverflow="clip" wrap="square" lIns="36576" tIns="36576" rIns="36576" bIns="36576" anchor="t" upright="1"/>
          <a:lstStyle/>
          <a:p>
            <a:pPr algn="r" rtl="0">
              <a:defRPr sz="1000"/>
            </a:pPr>
            <a:r>
              <a:rPr lang="fr-CA" sz="1300" b="1" i="0" strike="noStrike">
                <a:solidFill>
                  <a:srgbClr val="339966"/>
                </a:solidFill>
                <a:latin typeface="+mn-lt"/>
                <a:ea typeface="+mn-ea"/>
                <a:cs typeface="+mn-cs"/>
              </a:rPr>
              <a:t>Novembre</a:t>
            </a:r>
          </a:p>
          <a:p>
            <a:pPr algn="r" rtl="0">
              <a:defRPr sz="1000"/>
            </a:pPr>
            <a:r>
              <a:rPr lang="fr-CA" sz="1300" b="1" i="0" strike="noStrike">
                <a:solidFill>
                  <a:srgbClr val="339966"/>
                </a:solidFill>
                <a:latin typeface="+mn-lt"/>
              </a:rPr>
              <a:t>2024</a:t>
            </a:r>
          </a:p>
          <a:p>
            <a:pPr algn="r" rtl="0">
              <a:defRPr sz="1000"/>
            </a:pPr>
            <a:endParaRPr lang="fr-CA" sz="1300" b="1" i="0" strike="noStrike">
              <a:solidFill>
                <a:srgbClr val="339966"/>
              </a:solidFill>
              <a:latin typeface="+mn-lt"/>
            </a:endParaRPr>
          </a:p>
          <a:p>
            <a:pPr algn="r" rtl="0">
              <a:defRPr sz="1000"/>
            </a:pPr>
            <a:endParaRPr lang="fr-CA" sz="1300" b="1" i="0" strike="noStrike">
              <a:solidFill>
                <a:srgbClr val="339966"/>
              </a:solidFill>
              <a:latin typeface="Calibri"/>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252414</xdr:colOff>
      <xdr:row>13</xdr:row>
      <xdr:rowOff>76673</xdr:rowOff>
    </xdr:from>
    <xdr:to>
      <xdr:col>16</xdr:col>
      <xdr:colOff>38712</xdr:colOff>
      <xdr:row>21</xdr:row>
      <xdr:rowOff>67653</xdr:rowOff>
    </xdr:to>
    <xdr:sp macro="" textlink="">
      <xdr:nvSpPr>
        <xdr:cNvPr id="2" name="Légende encadrée avec une bordure 1 1">
          <a:extLst>
            <a:ext uri="{FF2B5EF4-FFF2-40B4-BE49-F238E27FC236}">
              <a16:creationId xmlns:a16="http://schemas.microsoft.com/office/drawing/2014/main" id="{00000000-0008-0000-0600-000002000000}"/>
            </a:ext>
          </a:extLst>
        </xdr:cNvPr>
        <xdr:cNvSpPr/>
      </xdr:nvSpPr>
      <xdr:spPr>
        <a:xfrm>
          <a:off x="11414127" y="2545553"/>
          <a:ext cx="754061" cy="1507330"/>
        </a:xfrm>
        <a:prstGeom prst="accentBorderCallout1">
          <a:avLst>
            <a:gd name="adj1" fmla="val 18750"/>
            <a:gd name="adj2" fmla="val -8333"/>
            <a:gd name="adj3" fmla="val 67508"/>
            <a:gd name="adj4" fmla="val -375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lang="fr-FR" sz="1100"/>
            <a:t>Recopier la cellule</a:t>
          </a:r>
          <a:r>
            <a:rPr lang="fr-FR" sz="1100" baseline="0"/>
            <a:t> de la dernière ligne au fur et à mesure des années</a:t>
          </a:r>
          <a:endParaRPr lang="fr-FR" sz="1100"/>
        </a:p>
      </xdr:txBody>
    </xdr:sp>
    <xdr:clientData/>
  </xdr:twoCellAnchor>
  <xdr:twoCellAnchor>
    <xdr:from>
      <xdr:col>11</xdr:col>
      <xdr:colOff>416400</xdr:colOff>
      <xdr:row>23</xdr:row>
      <xdr:rowOff>73817</xdr:rowOff>
    </xdr:from>
    <xdr:to>
      <xdr:col>13</xdr:col>
      <xdr:colOff>640284</xdr:colOff>
      <xdr:row>29</xdr:row>
      <xdr:rowOff>73818</xdr:rowOff>
    </xdr:to>
    <xdr:sp macro="" textlink="">
      <xdr:nvSpPr>
        <xdr:cNvPr id="3" name="Légende encadrée avec une bordure 1 2">
          <a:extLst>
            <a:ext uri="{FF2B5EF4-FFF2-40B4-BE49-F238E27FC236}">
              <a16:creationId xmlns:a16="http://schemas.microsoft.com/office/drawing/2014/main" id="{00000000-0008-0000-0600-000003000000}"/>
            </a:ext>
          </a:extLst>
        </xdr:cNvPr>
        <xdr:cNvSpPr/>
      </xdr:nvSpPr>
      <xdr:spPr>
        <a:xfrm>
          <a:off x="8449468" y="4455317"/>
          <a:ext cx="1622025" cy="1143001"/>
        </a:xfrm>
        <a:prstGeom prst="accentBorderCallout1">
          <a:avLst>
            <a:gd name="adj1" fmla="val 18750"/>
            <a:gd name="adj2" fmla="val -8333"/>
            <a:gd name="adj3" fmla="val -106363"/>
            <a:gd name="adj4" fmla="val -2414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200"/>
            </a:lnSpc>
          </a:pPr>
          <a:r>
            <a:rPr lang="fr-FR" sz="1100"/>
            <a:t>Ces montants proviennent</a:t>
          </a:r>
          <a:r>
            <a:rPr lang="fr-FR" sz="1100" baseline="0"/>
            <a:t> de  la prévision dans l'onglet Outils et résultats produits par le MensuelPorcs.</a:t>
          </a:r>
          <a:endParaRPr lang="fr-FR" sz="1100"/>
        </a:p>
      </xdr:txBody>
    </xdr:sp>
    <xdr:clientData/>
  </xdr:twoCellAnchor>
  <xdr:twoCellAnchor editAs="oneCell">
    <xdr:from>
      <xdr:col>1</xdr:col>
      <xdr:colOff>114300</xdr:colOff>
      <xdr:row>24</xdr:row>
      <xdr:rowOff>66675</xdr:rowOff>
    </xdr:from>
    <xdr:to>
      <xdr:col>8</xdr:col>
      <xdr:colOff>409575</xdr:colOff>
      <xdr:row>40</xdr:row>
      <xdr:rowOff>152400</xdr:rowOff>
    </xdr:to>
    <xdr:pic>
      <xdr:nvPicPr>
        <xdr:cNvPr id="43518" name="Image 3">
          <a:extLst>
            <a:ext uri="{FF2B5EF4-FFF2-40B4-BE49-F238E27FC236}">
              <a16:creationId xmlns:a16="http://schemas.microsoft.com/office/drawing/2014/main" id="{00000000-0008-0000-0600-0000FEA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4638675"/>
          <a:ext cx="5010150" cy="313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AAD9F-CDF5-465C-8521-A1CB384CE87D}">
  <dimension ref="A1:J157"/>
  <sheetViews>
    <sheetView showGridLines="0" showRowColHeaders="0" tabSelected="1" zoomScale="90" zoomScaleNormal="90" workbookViewId="0">
      <selection activeCell="P42" sqref="P42"/>
    </sheetView>
  </sheetViews>
  <sheetFormatPr baseColWidth="10" defaultColWidth="10.85546875" defaultRowHeight="12.75" x14ac:dyDescent="0.2"/>
  <cols>
    <col min="1" max="8" width="10.85546875" style="185"/>
    <col min="9" max="9" width="11.28515625" style="185" customWidth="1"/>
    <col min="10" max="16384" width="10.85546875" style="185"/>
  </cols>
  <sheetData>
    <row r="1" spans="1:10" ht="121.5" customHeight="1" x14ac:dyDescent="0.2">
      <c r="A1"/>
      <c r="B1"/>
      <c r="C1"/>
      <c r="D1"/>
      <c r="E1"/>
      <c r="F1"/>
      <c r="G1"/>
      <c r="H1"/>
      <c r="I1"/>
    </row>
    <row r="2" spans="1:10" ht="15.75" customHeight="1" x14ac:dyDescent="0.25">
      <c r="A2"/>
      <c r="B2"/>
      <c r="C2"/>
      <c r="D2"/>
      <c r="E2"/>
      <c r="F2" s="377"/>
      <c r="G2" s="378"/>
      <c r="H2" s="379"/>
      <c r="I2" s="379"/>
      <c r="J2" s="186"/>
    </row>
    <row r="3" spans="1:10" ht="10.5" customHeight="1" x14ac:dyDescent="0.2">
      <c r="A3"/>
      <c r="B3"/>
      <c r="C3"/>
      <c r="D3"/>
      <c r="E3"/>
      <c r="F3"/>
      <c r="G3"/>
      <c r="H3"/>
      <c r="I3"/>
    </row>
    <row r="4" spans="1:10" ht="15" x14ac:dyDescent="0.25">
      <c r="A4"/>
      <c r="B4"/>
      <c r="C4"/>
      <c r="D4"/>
      <c r="E4"/>
      <c r="F4"/>
      <c r="G4"/>
      <c r="H4" s="380"/>
      <c r="I4" s="381"/>
    </row>
    <row r="5" spans="1:10" x14ac:dyDescent="0.2">
      <c r="A5"/>
      <c r="B5"/>
      <c r="C5"/>
      <c r="D5"/>
      <c r="E5"/>
      <c r="F5"/>
      <c r="G5"/>
      <c r="H5"/>
      <c r="I5"/>
    </row>
    <row r="6" spans="1:10" x14ac:dyDescent="0.2">
      <c r="A6"/>
      <c r="B6"/>
      <c r="C6"/>
      <c r="D6"/>
      <c r="E6"/>
      <c r="F6"/>
      <c r="G6"/>
      <c r="H6"/>
      <c r="I6"/>
    </row>
    <row r="7" spans="1:10" x14ac:dyDescent="0.2">
      <c r="A7"/>
      <c r="B7"/>
      <c r="C7"/>
      <c r="D7"/>
      <c r="E7"/>
      <c r="F7"/>
      <c r="G7"/>
      <c r="H7"/>
      <c r="I7"/>
    </row>
    <row r="8" spans="1:10" x14ac:dyDescent="0.2">
      <c r="A8"/>
      <c r="B8"/>
      <c r="C8"/>
      <c r="D8"/>
      <c r="E8"/>
      <c r="F8"/>
      <c r="G8"/>
      <c r="H8"/>
      <c r="I8"/>
    </row>
    <row r="9" spans="1:10" x14ac:dyDescent="0.2">
      <c r="A9"/>
      <c r="B9"/>
      <c r="C9"/>
      <c r="D9"/>
      <c r="E9"/>
      <c r="F9"/>
      <c r="G9"/>
      <c r="H9"/>
      <c r="I9"/>
    </row>
    <row r="10" spans="1:10" x14ac:dyDescent="0.2">
      <c r="A10"/>
      <c r="B10"/>
      <c r="C10"/>
      <c r="D10"/>
      <c r="E10"/>
      <c r="F10"/>
      <c r="G10"/>
      <c r="H10"/>
      <c r="I10"/>
    </row>
    <row r="11" spans="1:10" x14ac:dyDescent="0.2">
      <c r="A11"/>
      <c r="B11"/>
      <c r="C11"/>
      <c r="D11"/>
      <c r="E11"/>
      <c r="F11"/>
      <c r="G11"/>
      <c r="H11"/>
      <c r="I11"/>
    </row>
    <row r="12" spans="1:10" x14ac:dyDescent="0.2">
      <c r="A12"/>
      <c r="B12"/>
      <c r="C12"/>
      <c r="D12"/>
      <c r="E12"/>
      <c r="F12"/>
      <c r="G12"/>
      <c r="H12"/>
      <c r="I12"/>
    </row>
    <row r="13" spans="1:10" x14ac:dyDescent="0.2">
      <c r="A13"/>
      <c r="B13"/>
      <c r="C13"/>
      <c r="D13"/>
      <c r="E13"/>
      <c r="F13"/>
      <c r="G13"/>
      <c r="H13"/>
      <c r="I13"/>
    </row>
    <row r="14" spans="1:10" x14ac:dyDescent="0.2">
      <c r="A14"/>
      <c r="B14"/>
      <c r="C14"/>
      <c r="D14"/>
      <c r="E14"/>
      <c r="F14"/>
      <c r="G14"/>
      <c r="H14"/>
      <c r="I14"/>
    </row>
    <row r="15" spans="1:10" x14ac:dyDescent="0.2">
      <c r="A15"/>
      <c r="B15"/>
      <c r="C15"/>
      <c r="D15"/>
      <c r="E15"/>
      <c r="F15"/>
      <c r="G15"/>
      <c r="H15"/>
      <c r="I15"/>
    </row>
    <row r="16" spans="1:10" x14ac:dyDescent="0.2">
      <c r="A16"/>
      <c r="B16"/>
      <c r="C16"/>
      <c r="D16"/>
      <c r="E16"/>
      <c r="F16"/>
      <c r="G16"/>
      <c r="H16"/>
      <c r="I16"/>
    </row>
    <row r="17" spans="1:9" x14ac:dyDescent="0.2">
      <c r="A17"/>
      <c r="B17"/>
      <c r="C17"/>
      <c r="D17"/>
      <c r="E17"/>
      <c r="F17"/>
      <c r="G17"/>
      <c r="H17"/>
      <c r="I17"/>
    </row>
    <row r="18" spans="1:9" x14ac:dyDescent="0.2">
      <c r="A18"/>
      <c r="B18"/>
      <c r="C18"/>
      <c r="D18"/>
      <c r="E18"/>
      <c r="F18"/>
      <c r="G18"/>
      <c r="H18"/>
      <c r="I18"/>
    </row>
    <row r="19" spans="1:9" x14ac:dyDescent="0.2">
      <c r="A19"/>
      <c r="B19"/>
      <c r="C19"/>
      <c r="D19"/>
      <c r="E19"/>
      <c r="F19"/>
      <c r="G19"/>
      <c r="H19"/>
      <c r="I19"/>
    </row>
    <row r="20" spans="1:9" x14ac:dyDescent="0.2">
      <c r="A20"/>
      <c r="B20"/>
      <c r="C20"/>
      <c r="D20"/>
      <c r="E20"/>
      <c r="F20"/>
      <c r="G20"/>
      <c r="H20"/>
      <c r="I20"/>
    </row>
    <row r="21" spans="1:9" x14ac:dyDescent="0.2">
      <c r="A21"/>
      <c r="B21"/>
      <c r="C21"/>
      <c r="D21"/>
      <c r="E21"/>
      <c r="F21"/>
      <c r="G21"/>
      <c r="H21"/>
      <c r="I21"/>
    </row>
    <row r="22" spans="1:9" x14ac:dyDescent="0.2">
      <c r="A22"/>
      <c r="B22"/>
      <c r="C22"/>
      <c r="D22"/>
      <c r="E22"/>
      <c r="F22"/>
      <c r="G22"/>
      <c r="H22"/>
      <c r="I22"/>
    </row>
    <row r="23" spans="1:9" x14ac:dyDescent="0.2">
      <c r="A23"/>
      <c r="B23"/>
      <c r="C23"/>
      <c r="D23"/>
      <c r="E23"/>
      <c r="F23"/>
      <c r="G23"/>
      <c r="H23"/>
      <c r="I23"/>
    </row>
    <row r="24" spans="1:9" x14ac:dyDescent="0.2">
      <c r="A24"/>
      <c r="B24"/>
      <c r="C24"/>
      <c r="D24"/>
      <c r="E24"/>
      <c r="F24"/>
      <c r="G24"/>
      <c r="H24"/>
      <c r="I24"/>
    </row>
    <row r="25" spans="1:9" x14ac:dyDescent="0.2">
      <c r="A25"/>
      <c r="B25"/>
      <c r="C25"/>
      <c r="D25"/>
      <c r="E25"/>
      <c r="F25"/>
      <c r="G25"/>
      <c r="H25"/>
      <c r="I25"/>
    </row>
    <row r="26" spans="1:9" x14ac:dyDescent="0.2">
      <c r="A26"/>
      <c r="B26"/>
      <c r="C26"/>
      <c r="D26"/>
      <c r="E26"/>
      <c r="F26"/>
      <c r="G26"/>
      <c r="H26"/>
      <c r="I26"/>
    </row>
    <row r="27" spans="1:9" x14ac:dyDescent="0.2">
      <c r="A27"/>
      <c r="B27"/>
      <c r="C27"/>
      <c r="D27"/>
      <c r="E27"/>
      <c r="F27"/>
      <c r="G27"/>
      <c r="H27"/>
      <c r="I27"/>
    </row>
    <row r="28" spans="1:9" x14ac:dyDescent="0.2">
      <c r="A28"/>
      <c r="B28"/>
      <c r="C28"/>
      <c r="D28"/>
      <c r="E28"/>
      <c r="F28"/>
      <c r="G28"/>
      <c r="H28"/>
      <c r="I28"/>
    </row>
    <row r="29" spans="1:9" x14ac:dyDescent="0.2">
      <c r="A29"/>
      <c r="B29"/>
      <c r="C29"/>
      <c r="D29"/>
      <c r="E29"/>
      <c r="F29"/>
      <c r="G29"/>
      <c r="H29"/>
      <c r="I29"/>
    </row>
    <row r="30" spans="1:9" x14ac:dyDescent="0.2">
      <c r="A30"/>
      <c r="B30"/>
      <c r="C30"/>
      <c r="D30"/>
      <c r="E30"/>
      <c r="F30"/>
      <c r="G30"/>
      <c r="H30"/>
      <c r="I30"/>
    </row>
    <row r="31" spans="1:9" x14ac:dyDescent="0.2">
      <c r="A31"/>
      <c r="B31"/>
      <c r="C31"/>
      <c r="D31"/>
      <c r="E31"/>
      <c r="F31"/>
      <c r="G31"/>
      <c r="H31"/>
      <c r="I31"/>
    </row>
    <row r="32" spans="1:9" x14ac:dyDescent="0.2">
      <c r="A32"/>
      <c r="B32"/>
      <c r="C32"/>
      <c r="D32"/>
      <c r="E32"/>
      <c r="F32"/>
      <c r="G32"/>
      <c r="H32"/>
      <c r="I32"/>
    </row>
    <row r="33" spans="1:9" x14ac:dyDescent="0.2">
      <c r="A33"/>
      <c r="B33"/>
      <c r="C33"/>
      <c r="D33"/>
      <c r="E33"/>
      <c r="F33"/>
      <c r="G33"/>
      <c r="H33"/>
      <c r="I33"/>
    </row>
    <row r="34" spans="1:9" x14ac:dyDescent="0.2">
      <c r="A34"/>
      <c r="B34"/>
      <c r="C34"/>
      <c r="D34"/>
      <c r="E34"/>
      <c r="F34"/>
      <c r="G34"/>
      <c r="H34"/>
      <c r="I34"/>
    </row>
    <row r="35" spans="1:9" x14ac:dyDescent="0.2">
      <c r="A35"/>
      <c r="B35"/>
      <c r="C35"/>
      <c r="D35"/>
      <c r="E35"/>
      <c r="F35"/>
      <c r="G35"/>
      <c r="H35"/>
      <c r="I35"/>
    </row>
    <row r="36" spans="1:9" x14ac:dyDescent="0.2">
      <c r="A36"/>
      <c r="B36"/>
      <c r="C36"/>
      <c r="D36"/>
      <c r="E36"/>
      <c r="F36"/>
      <c r="G36"/>
      <c r="H36"/>
      <c r="I36"/>
    </row>
    <row r="37" spans="1:9" x14ac:dyDescent="0.2">
      <c r="A37"/>
      <c r="B37"/>
      <c r="C37"/>
      <c r="D37"/>
      <c r="E37"/>
      <c r="F37"/>
      <c r="G37"/>
      <c r="H37"/>
      <c r="I37"/>
    </row>
    <row r="38" spans="1:9" x14ac:dyDescent="0.2">
      <c r="A38"/>
      <c r="B38"/>
      <c r="C38"/>
      <c r="D38"/>
      <c r="E38"/>
      <c r="F38"/>
      <c r="G38"/>
      <c r="H38"/>
      <c r="I38"/>
    </row>
    <row r="39" spans="1:9" x14ac:dyDescent="0.2">
      <c r="A39"/>
      <c r="B39"/>
      <c r="C39"/>
      <c r="D39"/>
      <c r="E39"/>
      <c r="F39"/>
      <c r="G39"/>
      <c r="H39"/>
      <c r="I39"/>
    </row>
    <row r="40" spans="1:9" x14ac:dyDescent="0.2">
      <c r="A40"/>
      <c r="B40"/>
      <c r="C40"/>
      <c r="D40"/>
      <c r="E40"/>
      <c r="F40"/>
      <c r="G40"/>
      <c r="H40"/>
      <c r="I40"/>
    </row>
    <row r="41" spans="1:9" x14ac:dyDescent="0.2">
      <c r="A41"/>
      <c r="B41"/>
      <c r="C41"/>
      <c r="D41"/>
      <c r="E41"/>
      <c r="F41"/>
      <c r="G41"/>
      <c r="H41"/>
      <c r="I41"/>
    </row>
    <row r="42" spans="1:9" x14ac:dyDescent="0.2">
      <c r="A42"/>
      <c r="B42"/>
      <c r="C42"/>
      <c r="D42"/>
      <c r="E42"/>
      <c r="F42"/>
      <c r="G42"/>
      <c r="H42"/>
      <c r="I42"/>
    </row>
    <row r="43" spans="1:9" x14ac:dyDescent="0.2">
      <c r="A43"/>
      <c r="B43"/>
      <c r="C43"/>
      <c r="D43"/>
      <c r="E43"/>
      <c r="F43"/>
      <c r="G43"/>
      <c r="H43"/>
      <c r="I43"/>
    </row>
    <row r="44" spans="1:9" x14ac:dyDescent="0.2">
      <c r="A44"/>
      <c r="B44"/>
      <c r="C44"/>
      <c r="D44"/>
      <c r="E44"/>
      <c r="F44"/>
      <c r="G44"/>
      <c r="H44"/>
      <c r="I44"/>
    </row>
    <row r="45" spans="1:9" x14ac:dyDescent="0.2">
      <c r="A45"/>
      <c r="B45"/>
      <c r="C45"/>
      <c r="D45"/>
      <c r="E45"/>
      <c r="F45"/>
      <c r="G45"/>
      <c r="H45"/>
      <c r="I45"/>
    </row>
    <row r="46" spans="1:9" x14ac:dyDescent="0.2">
      <c r="A46"/>
      <c r="B46"/>
      <c r="C46"/>
      <c r="D46"/>
      <c r="E46"/>
      <c r="F46"/>
      <c r="G46"/>
      <c r="H46"/>
      <c r="I46"/>
    </row>
    <row r="47" spans="1:9" x14ac:dyDescent="0.2">
      <c r="A47"/>
      <c r="B47"/>
      <c r="C47"/>
      <c r="D47"/>
      <c r="E47"/>
      <c r="F47"/>
      <c r="G47"/>
      <c r="H47"/>
      <c r="I47"/>
    </row>
    <row r="48" spans="1:9" x14ac:dyDescent="0.2">
      <c r="A48"/>
      <c r="B48"/>
      <c r="C48"/>
      <c r="D48"/>
      <c r="E48"/>
      <c r="F48"/>
      <c r="G48"/>
      <c r="H48"/>
      <c r="I48"/>
    </row>
    <row r="49" spans="1:10" x14ac:dyDescent="0.2">
      <c r="A49"/>
      <c r="B49"/>
      <c r="C49"/>
      <c r="D49"/>
      <c r="E49"/>
      <c r="F49"/>
      <c r="G49"/>
      <c r="H49"/>
      <c r="I49"/>
    </row>
    <row r="50" spans="1:10" x14ac:dyDescent="0.2">
      <c r="A50"/>
      <c r="B50"/>
      <c r="C50"/>
      <c r="D50"/>
      <c r="E50"/>
      <c r="F50"/>
      <c r="G50"/>
      <c r="H50"/>
      <c r="I50"/>
    </row>
    <row r="51" spans="1:10" x14ac:dyDescent="0.2">
      <c r="A51"/>
      <c r="B51"/>
      <c r="C51"/>
      <c r="D51"/>
      <c r="E51"/>
      <c r="F51"/>
      <c r="G51"/>
      <c r="H51"/>
      <c r="I51"/>
    </row>
    <row r="52" spans="1:10" x14ac:dyDescent="0.2">
      <c r="A52"/>
      <c r="B52"/>
      <c r="C52"/>
      <c r="D52"/>
      <c r="E52"/>
      <c r="F52"/>
      <c r="G52"/>
      <c r="H52"/>
      <c r="I52"/>
    </row>
    <row r="53" spans="1:10" x14ac:dyDescent="0.2">
      <c r="A53"/>
      <c r="B53"/>
      <c r="C53"/>
      <c r="D53"/>
      <c r="E53"/>
      <c r="F53"/>
      <c r="G53"/>
      <c r="H53"/>
      <c r="I53"/>
      <c r="J53" s="186"/>
    </row>
    <row r="54" spans="1:10" x14ac:dyDescent="0.2">
      <c r="A54"/>
      <c r="B54"/>
      <c r="C54"/>
      <c r="D54"/>
      <c r="E54"/>
      <c r="F54"/>
      <c r="G54"/>
      <c r="H54"/>
      <c r="I54"/>
    </row>
    <row r="55" spans="1:10" x14ac:dyDescent="0.2">
      <c r="A55"/>
      <c r="B55"/>
      <c r="C55"/>
      <c r="D55"/>
      <c r="E55"/>
      <c r="F55"/>
      <c r="G55"/>
      <c r="H55"/>
      <c r="I55"/>
    </row>
    <row r="56" spans="1:10" x14ac:dyDescent="0.2">
      <c r="A56"/>
      <c r="B56"/>
      <c r="C56"/>
      <c r="D56"/>
      <c r="E56"/>
      <c r="F56"/>
      <c r="G56"/>
      <c r="H56"/>
      <c r="I56"/>
    </row>
    <row r="57" spans="1:10" x14ac:dyDescent="0.2">
      <c r="A57"/>
      <c r="B57"/>
      <c r="C57"/>
      <c r="D57"/>
      <c r="E57"/>
      <c r="F57"/>
      <c r="G57"/>
      <c r="H57"/>
      <c r="I57"/>
    </row>
    <row r="58" spans="1:10" x14ac:dyDescent="0.2">
      <c r="A58"/>
      <c r="B58"/>
      <c r="C58"/>
      <c r="D58"/>
      <c r="E58"/>
      <c r="F58"/>
      <c r="G58"/>
      <c r="H58"/>
      <c r="I58"/>
    </row>
    <row r="59" spans="1:10" x14ac:dyDescent="0.2">
      <c r="A59"/>
      <c r="B59"/>
      <c r="C59"/>
      <c r="D59"/>
      <c r="E59"/>
      <c r="F59"/>
      <c r="G59"/>
      <c r="H59"/>
      <c r="I59"/>
    </row>
    <row r="60" spans="1:10" x14ac:dyDescent="0.2">
      <c r="A60"/>
      <c r="B60"/>
      <c r="C60"/>
      <c r="D60"/>
      <c r="E60"/>
      <c r="F60"/>
      <c r="G60"/>
      <c r="H60"/>
      <c r="I60"/>
    </row>
    <row r="61" spans="1:10" x14ac:dyDescent="0.2">
      <c r="A61"/>
      <c r="B61"/>
      <c r="C61"/>
      <c r="D61"/>
      <c r="E61"/>
      <c r="F61"/>
      <c r="G61"/>
      <c r="H61"/>
      <c r="I61"/>
    </row>
    <row r="62" spans="1:10" x14ac:dyDescent="0.2">
      <c r="A62"/>
      <c r="B62"/>
      <c r="C62"/>
      <c r="D62"/>
      <c r="E62"/>
      <c r="F62"/>
      <c r="G62"/>
      <c r="H62"/>
      <c r="I62"/>
    </row>
    <row r="63" spans="1:10" x14ac:dyDescent="0.2">
      <c r="A63"/>
      <c r="B63"/>
      <c r="C63"/>
      <c r="D63"/>
      <c r="E63"/>
      <c r="F63"/>
      <c r="G63"/>
      <c r="H63"/>
      <c r="I63"/>
    </row>
    <row r="64" spans="1:10" x14ac:dyDescent="0.2">
      <c r="A64"/>
      <c r="B64"/>
      <c r="C64"/>
      <c r="D64"/>
      <c r="E64"/>
      <c r="F64"/>
      <c r="G64"/>
      <c r="H64"/>
      <c r="I64"/>
    </row>
    <row r="65" spans="1:9" x14ac:dyDescent="0.2">
      <c r="A65"/>
      <c r="B65"/>
      <c r="C65"/>
      <c r="D65"/>
      <c r="E65"/>
      <c r="F65"/>
      <c r="G65"/>
      <c r="H65"/>
      <c r="I65"/>
    </row>
    <row r="66" spans="1:9" x14ac:dyDescent="0.2">
      <c r="A66"/>
      <c r="B66"/>
      <c r="C66"/>
      <c r="D66"/>
      <c r="E66"/>
      <c r="F66"/>
      <c r="G66"/>
      <c r="H66"/>
      <c r="I66"/>
    </row>
    <row r="67" spans="1:9" x14ac:dyDescent="0.2">
      <c r="A67"/>
      <c r="B67"/>
      <c r="C67"/>
      <c r="D67"/>
      <c r="E67"/>
      <c r="F67"/>
      <c r="G67"/>
      <c r="H67"/>
      <c r="I67"/>
    </row>
    <row r="68" spans="1:9" x14ac:dyDescent="0.2">
      <c r="A68"/>
      <c r="B68"/>
      <c r="C68"/>
      <c r="D68"/>
      <c r="E68"/>
      <c r="F68"/>
      <c r="G68"/>
      <c r="H68"/>
      <c r="I68"/>
    </row>
    <row r="69" spans="1:9" x14ac:dyDescent="0.2">
      <c r="A69"/>
      <c r="B69"/>
      <c r="C69"/>
      <c r="D69"/>
      <c r="E69"/>
      <c r="F69"/>
      <c r="G69"/>
      <c r="H69"/>
      <c r="I69"/>
    </row>
    <row r="70" spans="1:9" x14ac:dyDescent="0.2">
      <c r="A70"/>
      <c r="B70"/>
      <c r="C70"/>
      <c r="D70"/>
      <c r="E70"/>
      <c r="F70"/>
      <c r="G70"/>
      <c r="H70"/>
      <c r="I70"/>
    </row>
    <row r="71" spans="1:9" x14ac:dyDescent="0.2">
      <c r="A71"/>
      <c r="B71"/>
      <c r="C71"/>
      <c r="D71"/>
      <c r="E71"/>
      <c r="F71"/>
      <c r="G71"/>
      <c r="H71"/>
      <c r="I71"/>
    </row>
    <row r="72" spans="1:9" x14ac:dyDescent="0.2">
      <c r="A72"/>
      <c r="B72"/>
      <c r="C72"/>
      <c r="D72"/>
      <c r="E72"/>
      <c r="F72"/>
      <c r="G72"/>
      <c r="H72"/>
      <c r="I72"/>
    </row>
    <row r="73" spans="1:9" x14ac:dyDescent="0.2">
      <c r="A73"/>
      <c r="B73"/>
      <c r="C73"/>
      <c r="D73"/>
      <c r="E73"/>
      <c r="F73"/>
      <c r="G73"/>
      <c r="H73"/>
      <c r="I73"/>
    </row>
    <row r="74" spans="1:9" x14ac:dyDescent="0.2">
      <c r="A74"/>
      <c r="B74"/>
      <c r="C74"/>
      <c r="D74"/>
      <c r="E74"/>
      <c r="F74"/>
      <c r="G74"/>
      <c r="H74"/>
      <c r="I74"/>
    </row>
    <row r="75" spans="1:9" x14ac:dyDescent="0.2">
      <c r="A75"/>
      <c r="B75"/>
      <c r="C75"/>
      <c r="D75"/>
      <c r="E75"/>
      <c r="F75"/>
      <c r="G75"/>
      <c r="H75"/>
      <c r="I75"/>
    </row>
    <row r="76" spans="1:9" x14ac:dyDescent="0.2">
      <c r="A76"/>
      <c r="B76"/>
      <c r="C76"/>
      <c r="D76"/>
      <c r="E76"/>
      <c r="F76"/>
      <c r="G76"/>
      <c r="H76"/>
      <c r="I76"/>
    </row>
    <row r="77" spans="1:9" x14ac:dyDescent="0.2">
      <c r="A77"/>
      <c r="B77"/>
      <c r="C77"/>
      <c r="D77"/>
      <c r="E77"/>
      <c r="F77"/>
      <c r="G77"/>
      <c r="H77"/>
      <c r="I77"/>
    </row>
    <row r="78" spans="1:9" x14ac:dyDescent="0.2">
      <c r="A78"/>
      <c r="B78"/>
      <c r="C78"/>
      <c r="D78"/>
      <c r="E78"/>
      <c r="F78"/>
      <c r="G78"/>
      <c r="H78"/>
      <c r="I78"/>
    </row>
    <row r="79" spans="1:9" x14ac:dyDescent="0.2">
      <c r="A79"/>
      <c r="B79"/>
      <c r="C79"/>
      <c r="D79"/>
      <c r="E79"/>
      <c r="F79"/>
      <c r="G79"/>
      <c r="H79"/>
      <c r="I79"/>
    </row>
    <row r="80" spans="1:9" x14ac:dyDescent="0.2">
      <c r="A80"/>
      <c r="B80"/>
      <c r="C80"/>
      <c r="D80"/>
      <c r="E80"/>
      <c r="F80"/>
      <c r="G80"/>
      <c r="H80"/>
      <c r="I80"/>
    </row>
    <row r="81" spans="1:9" x14ac:dyDescent="0.2">
      <c r="A81"/>
      <c r="B81"/>
      <c r="C81"/>
      <c r="D81"/>
      <c r="E81"/>
      <c r="F81"/>
      <c r="G81"/>
      <c r="H81"/>
      <c r="I81"/>
    </row>
    <row r="82" spans="1:9" x14ac:dyDescent="0.2">
      <c r="A82"/>
      <c r="B82"/>
      <c r="C82"/>
      <c r="D82"/>
      <c r="E82"/>
      <c r="F82"/>
      <c r="G82"/>
      <c r="H82"/>
      <c r="I82"/>
    </row>
    <row r="83" spans="1:9" x14ac:dyDescent="0.2">
      <c r="A83"/>
      <c r="B83"/>
      <c r="C83"/>
      <c r="D83"/>
      <c r="E83"/>
      <c r="F83"/>
      <c r="G83"/>
      <c r="H83"/>
      <c r="I83"/>
    </row>
    <row r="84" spans="1:9" x14ac:dyDescent="0.2">
      <c r="A84"/>
      <c r="B84"/>
      <c r="C84"/>
      <c r="D84"/>
      <c r="E84"/>
      <c r="F84"/>
      <c r="G84"/>
      <c r="H84"/>
      <c r="I84"/>
    </row>
    <row r="85" spans="1:9" x14ac:dyDescent="0.2">
      <c r="A85"/>
      <c r="B85"/>
      <c r="C85"/>
      <c r="D85"/>
      <c r="E85"/>
      <c r="F85"/>
      <c r="G85"/>
      <c r="H85"/>
      <c r="I85"/>
    </row>
    <row r="86" spans="1:9" x14ac:dyDescent="0.2">
      <c r="A86"/>
      <c r="B86"/>
      <c r="C86"/>
      <c r="D86"/>
      <c r="E86"/>
      <c r="F86"/>
      <c r="G86"/>
      <c r="H86"/>
      <c r="I86"/>
    </row>
    <row r="87" spans="1:9" x14ac:dyDescent="0.2">
      <c r="A87"/>
      <c r="B87"/>
      <c r="C87"/>
      <c r="D87"/>
      <c r="E87"/>
      <c r="F87"/>
      <c r="G87"/>
      <c r="H87"/>
      <c r="I87"/>
    </row>
    <row r="88" spans="1:9" x14ac:dyDescent="0.2">
      <c r="A88"/>
      <c r="B88"/>
      <c r="C88"/>
      <c r="D88"/>
      <c r="E88"/>
      <c r="F88"/>
      <c r="G88"/>
      <c r="H88"/>
      <c r="I88"/>
    </row>
    <row r="89" spans="1:9" x14ac:dyDescent="0.2">
      <c r="A89"/>
      <c r="B89"/>
      <c r="C89"/>
      <c r="D89"/>
      <c r="E89"/>
      <c r="F89"/>
      <c r="G89"/>
      <c r="H89"/>
      <c r="I89"/>
    </row>
    <row r="90" spans="1:9" x14ac:dyDescent="0.2">
      <c r="A90"/>
      <c r="B90"/>
      <c r="C90"/>
      <c r="D90"/>
      <c r="E90"/>
      <c r="F90"/>
      <c r="G90"/>
      <c r="H90"/>
      <c r="I90"/>
    </row>
    <row r="91" spans="1:9" x14ac:dyDescent="0.2">
      <c r="A91"/>
      <c r="B91"/>
      <c r="C91"/>
      <c r="D91"/>
      <c r="E91"/>
      <c r="F91"/>
      <c r="G91"/>
      <c r="H91"/>
      <c r="I91"/>
    </row>
    <row r="92" spans="1:9" x14ac:dyDescent="0.2">
      <c r="A92"/>
      <c r="B92"/>
      <c r="C92"/>
      <c r="D92"/>
      <c r="E92"/>
      <c r="F92"/>
      <c r="G92"/>
      <c r="H92"/>
      <c r="I92"/>
    </row>
    <row r="93" spans="1:9" x14ac:dyDescent="0.2">
      <c r="A93"/>
      <c r="B93"/>
      <c r="C93"/>
      <c r="D93"/>
      <c r="E93"/>
      <c r="F93"/>
      <c r="G93"/>
      <c r="H93"/>
      <c r="I93"/>
    </row>
    <row r="94" spans="1:9" x14ac:dyDescent="0.2">
      <c r="A94"/>
      <c r="B94"/>
      <c r="C94"/>
      <c r="D94"/>
      <c r="E94"/>
      <c r="F94"/>
      <c r="G94"/>
      <c r="H94"/>
      <c r="I94"/>
    </row>
    <row r="95" spans="1:9" x14ac:dyDescent="0.2">
      <c r="A95"/>
      <c r="B95"/>
      <c r="C95"/>
      <c r="D95"/>
      <c r="E95"/>
      <c r="F95"/>
      <c r="G95"/>
      <c r="H95"/>
      <c r="I95"/>
    </row>
    <row r="96" spans="1:9" x14ac:dyDescent="0.2">
      <c r="A96"/>
      <c r="B96"/>
      <c r="C96"/>
      <c r="D96"/>
      <c r="E96"/>
      <c r="F96"/>
      <c r="G96"/>
      <c r="H96"/>
      <c r="I96"/>
    </row>
    <row r="97" spans="1:10" x14ac:dyDescent="0.2">
      <c r="A97"/>
      <c r="B97"/>
      <c r="C97"/>
      <c r="D97"/>
      <c r="E97"/>
      <c r="F97"/>
      <c r="G97"/>
      <c r="H97"/>
      <c r="I97"/>
    </row>
    <row r="98" spans="1:10" x14ac:dyDescent="0.2">
      <c r="A98"/>
      <c r="B98"/>
      <c r="C98"/>
      <c r="D98"/>
      <c r="E98"/>
      <c r="F98"/>
      <c r="G98"/>
      <c r="H98"/>
      <c r="I98"/>
    </row>
    <row r="99" spans="1:10" x14ac:dyDescent="0.2">
      <c r="A99"/>
      <c r="B99"/>
      <c r="C99"/>
      <c r="D99"/>
      <c r="E99"/>
      <c r="F99"/>
      <c r="G99"/>
      <c r="H99"/>
      <c r="I99"/>
    </row>
    <row r="100" spans="1:10" x14ac:dyDescent="0.2">
      <c r="A100"/>
      <c r="B100"/>
      <c r="C100"/>
      <c r="D100"/>
      <c r="E100"/>
      <c r="F100"/>
      <c r="G100"/>
      <c r="H100"/>
      <c r="I100"/>
    </row>
    <row r="101" spans="1:10" x14ac:dyDescent="0.2">
      <c r="A101"/>
      <c r="B101"/>
      <c r="C101"/>
      <c r="D101"/>
      <c r="E101"/>
      <c r="F101"/>
      <c r="G101"/>
      <c r="H101"/>
      <c r="I101"/>
    </row>
    <row r="102" spans="1:10" x14ac:dyDescent="0.2">
      <c r="A102"/>
      <c r="B102"/>
      <c r="C102"/>
      <c r="D102"/>
      <c r="E102"/>
      <c r="F102"/>
      <c r="G102"/>
      <c r="H102"/>
      <c r="I102"/>
    </row>
    <row r="103" spans="1:10" x14ac:dyDescent="0.2">
      <c r="A103"/>
      <c r="B103"/>
      <c r="C103"/>
      <c r="D103"/>
      <c r="E103"/>
      <c r="F103"/>
      <c r="G103"/>
      <c r="H103"/>
      <c r="I103"/>
    </row>
    <row r="104" spans="1:10" x14ac:dyDescent="0.2">
      <c r="A104"/>
      <c r="B104"/>
      <c r="C104"/>
      <c r="D104"/>
      <c r="E104"/>
      <c r="F104"/>
      <c r="G104"/>
      <c r="H104"/>
      <c r="I104"/>
    </row>
    <row r="105" spans="1:10" x14ac:dyDescent="0.2">
      <c r="A105"/>
      <c r="B105"/>
      <c r="C105"/>
      <c r="D105"/>
      <c r="E105"/>
      <c r="F105"/>
      <c r="G105"/>
      <c r="H105"/>
      <c r="I105"/>
      <c r="J105" s="186"/>
    </row>
    <row r="106" spans="1:10" x14ac:dyDescent="0.2">
      <c r="A106"/>
      <c r="B106"/>
      <c r="C106"/>
      <c r="D106"/>
      <c r="E106"/>
      <c r="F106"/>
      <c r="G106"/>
      <c r="H106"/>
      <c r="I106"/>
    </row>
    <row r="107" spans="1:10" x14ac:dyDescent="0.2">
      <c r="A107"/>
      <c r="B107"/>
      <c r="C107"/>
      <c r="D107"/>
      <c r="E107"/>
      <c r="F107"/>
      <c r="G107"/>
      <c r="H107"/>
      <c r="I107"/>
    </row>
    <row r="108" spans="1:10" x14ac:dyDescent="0.2">
      <c r="A108"/>
      <c r="B108"/>
      <c r="C108"/>
      <c r="D108"/>
      <c r="E108"/>
      <c r="F108"/>
      <c r="G108"/>
      <c r="H108"/>
      <c r="I108"/>
    </row>
    <row r="109" spans="1:10" x14ac:dyDescent="0.2">
      <c r="A109"/>
      <c r="B109"/>
      <c r="C109"/>
      <c r="D109"/>
      <c r="E109"/>
      <c r="F109"/>
      <c r="G109"/>
      <c r="H109"/>
      <c r="I109"/>
    </row>
    <row r="110" spans="1:10" x14ac:dyDescent="0.2">
      <c r="A110"/>
      <c r="B110"/>
      <c r="C110"/>
      <c r="D110"/>
      <c r="E110"/>
      <c r="F110"/>
      <c r="G110"/>
      <c r="H110"/>
      <c r="I110"/>
    </row>
    <row r="111" spans="1:10" x14ac:dyDescent="0.2">
      <c r="A111"/>
      <c r="B111"/>
      <c r="C111"/>
      <c r="D111"/>
      <c r="E111"/>
      <c r="F111"/>
      <c r="G111"/>
      <c r="H111"/>
      <c r="I111"/>
    </row>
    <row r="112" spans="1:10" x14ac:dyDescent="0.2">
      <c r="A112"/>
      <c r="B112"/>
      <c r="C112"/>
      <c r="D112"/>
      <c r="E112"/>
      <c r="F112"/>
      <c r="G112"/>
      <c r="H112"/>
      <c r="I112"/>
    </row>
    <row r="113" spans="1:9" x14ac:dyDescent="0.2">
      <c r="A113"/>
      <c r="B113"/>
      <c r="C113"/>
      <c r="D113"/>
      <c r="E113"/>
      <c r="F113"/>
      <c r="G113"/>
      <c r="H113"/>
      <c r="I113"/>
    </row>
    <row r="114" spans="1:9" x14ac:dyDescent="0.2">
      <c r="A114"/>
      <c r="B114"/>
      <c r="C114"/>
      <c r="D114"/>
      <c r="E114"/>
      <c r="F114"/>
      <c r="G114"/>
      <c r="H114"/>
      <c r="I114"/>
    </row>
    <row r="115" spans="1:9" x14ac:dyDescent="0.2">
      <c r="A115"/>
      <c r="B115"/>
      <c r="C115"/>
      <c r="D115"/>
      <c r="E115"/>
      <c r="F115"/>
      <c r="G115"/>
      <c r="H115"/>
      <c r="I115"/>
    </row>
    <row r="116" spans="1:9" x14ac:dyDescent="0.2">
      <c r="A116"/>
      <c r="B116"/>
      <c r="C116"/>
      <c r="D116"/>
      <c r="E116"/>
      <c r="F116"/>
      <c r="G116"/>
      <c r="H116"/>
      <c r="I116"/>
    </row>
    <row r="117" spans="1:9" x14ac:dyDescent="0.2">
      <c r="A117"/>
      <c r="B117"/>
      <c r="C117"/>
      <c r="D117"/>
      <c r="E117"/>
      <c r="F117"/>
      <c r="G117"/>
      <c r="H117"/>
      <c r="I117"/>
    </row>
    <row r="118" spans="1:9" x14ac:dyDescent="0.2">
      <c r="A118"/>
      <c r="B118"/>
      <c r="C118"/>
      <c r="D118"/>
      <c r="E118"/>
      <c r="F118"/>
      <c r="G118"/>
      <c r="H118"/>
      <c r="I118"/>
    </row>
    <row r="119" spans="1:9" x14ac:dyDescent="0.2">
      <c r="A119"/>
      <c r="B119"/>
      <c r="C119"/>
      <c r="D119"/>
      <c r="E119"/>
      <c r="F119"/>
      <c r="G119"/>
      <c r="H119"/>
      <c r="I119"/>
    </row>
    <row r="120" spans="1:9" x14ac:dyDescent="0.2">
      <c r="A120"/>
      <c r="B120"/>
      <c r="C120"/>
      <c r="D120"/>
      <c r="E120"/>
      <c r="F120"/>
      <c r="G120"/>
      <c r="H120"/>
      <c r="I120"/>
    </row>
    <row r="121" spans="1:9" x14ac:dyDescent="0.2">
      <c r="A121"/>
      <c r="B121"/>
      <c r="C121"/>
      <c r="D121"/>
      <c r="E121"/>
      <c r="F121"/>
      <c r="G121"/>
      <c r="H121"/>
      <c r="I121"/>
    </row>
    <row r="122" spans="1:9" x14ac:dyDescent="0.2">
      <c r="A122"/>
      <c r="B122"/>
      <c r="C122"/>
      <c r="D122"/>
      <c r="E122"/>
      <c r="F122"/>
      <c r="G122"/>
      <c r="H122"/>
      <c r="I122"/>
    </row>
    <row r="123" spans="1:9" x14ac:dyDescent="0.2">
      <c r="A123"/>
      <c r="B123"/>
      <c r="C123"/>
      <c r="D123"/>
      <c r="E123"/>
      <c r="F123"/>
      <c r="G123"/>
      <c r="H123"/>
      <c r="I123"/>
    </row>
    <row r="124" spans="1:9" x14ac:dyDescent="0.2">
      <c r="A124"/>
      <c r="B124"/>
      <c r="C124"/>
      <c r="D124"/>
      <c r="E124"/>
      <c r="F124"/>
      <c r="G124"/>
      <c r="H124"/>
      <c r="I124"/>
    </row>
    <row r="125" spans="1:9" x14ac:dyDescent="0.2">
      <c r="A125"/>
      <c r="B125"/>
      <c r="C125"/>
      <c r="D125"/>
      <c r="E125"/>
      <c r="F125"/>
      <c r="G125"/>
      <c r="H125"/>
      <c r="I125"/>
    </row>
    <row r="126" spans="1:9" x14ac:dyDescent="0.2">
      <c r="A126"/>
      <c r="B126"/>
      <c r="C126"/>
      <c r="D126"/>
      <c r="E126"/>
      <c r="F126"/>
      <c r="G126"/>
      <c r="H126"/>
      <c r="I126"/>
    </row>
    <row r="127" spans="1:9" x14ac:dyDescent="0.2">
      <c r="A127"/>
      <c r="B127"/>
      <c r="C127"/>
      <c r="D127"/>
      <c r="E127"/>
      <c r="F127"/>
      <c r="G127"/>
      <c r="H127"/>
      <c r="I127"/>
    </row>
    <row r="128" spans="1:9" x14ac:dyDescent="0.2">
      <c r="A128"/>
      <c r="B128"/>
      <c r="C128"/>
      <c r="D128"/>
      <c r="E128"/>
      <c r="F128"/>
      <c r="G128"/>
      <c r="H128"/>
      <c r="I128"/>
    </row>
    <row r="129" spans="1:9" x14ac:dyDescent="0.2">
      <c r="A129"/>
      <c r="B129"/>
      <c r="C129"/>
      <c r="D129"/>
      <c r="E129"/>
      <c r="F129"/>
      <c r="G129"/>
      <c r="H129"/>
      <c r="I129"/>
    </row>
    <row r="130" spans="1:9" x14ac:dyDescent="0.2">
      <c r="A130"/>
      <c r="B130"/>
      <c r="C130"/>
      <c r="D130"/>
      <c r="E130"/>
      <c r="F130"/>
      <c r="G130"/>
      <c r="H130"/>
      <c r="I130"/>
    </row>
    <row r="131" spans="1:9" x14ac:dyDescent="0.2">
      <c r="A131"/>
      <c r="B131"/>
      <c r="C131"/>
      <c r="D131"/>
      <c r="E131"/>
      <c r="F131"/>
      <c r="G131"/>
      <c r="H131"/>
      <c r="I131"/>
    </row>
    <row r="132" spans="1:9" x14ac:dyDescent="0.2">
      <c r="A132"/>
      <c r="B132"/>
      <c r="C132"/>
      <c r="D132"/>
      <c r="E132"/>
      <c r="F132"/>
      <c r="G132"/>
      <c r="H132"/>
      <c r="I132"/>
    </row>
    <row r="133" spans="1:9" x14ac:dyDescent="0.2">
      <c r="A133"/>
      <c r="B133"/>
      <c r="C133"/>
      <c r="D133"/>
      <c r="E133"/>
      <c r="F133"/>
      <c r="G133"/>
      <c r="H133"/>
      <c r="I133"/>
    </row>
    <row r="134" spans="1:9" x14ac:dyDescent="0.2">
      <c r="A134"/>
      <c r="B134"/>
      <c r="C134"/>
      <c r="D134"/>
      <c r="E134"/>
      <c r="F134"/>
      <c r="G134"/>
      <c r="H134"/>
      <c r="I134"/>
    </row>
    <row r="135" spans="1:9" x14ac:dyDescent="0.2">
      <c r="A135"/>
      <c r="B135"/>
      <c r="C135"/>
      <c r="D135"/>
      <c r="E135"/>
      <c r="F135"/>
      <c r="G135"/>
      <c r="H135"/>
      <c r="I135"/>
    </row>
    <row r="136" spans="1:9" x14ac:dyDescent="0.2">
      <c r="A136"/>
      <c r="B136"/>
      <c r="C136"/>
      <c r="D136"/>
      <c r="E136"/>
      <c r="F136"/>
      <c r="G136"/>
      <c r="H136"/>
      <c r="I136"/>
    </row>
    <row r="137" spans="1:9" x14ac:dyDescent="0.2">
      <c r="A137"/>
      <c r="B137"/>
      <c r="C137"/>
      <c r="D137"/>
      <c r="E137"/>
      <c r="F137"/>
      <c r="G137"/>
      <c r="H137"/>
      <c r="I137"/>
    </row>
    <row r="138" spans="1:9" x14ac:dyDescent="0.2">
      <c r="A138"/>
      <c r="B138"/>
      <c r="C138"/>
      <c r="D138"/>
      <c r="E138"/>
      <c r="F138"/>
      <c r="G138"/>
      <c r="H138"/>
      <c r="I138"/>
    </row>
    <row r="139" spans="1:9" x14ac:dyDescent="0.2">
      <c r="A139"/>
      <c r="B139"/>
      <c r="C139"/>
      <c r="D139"/>
      <c r="E139"/>
      <c r="F139"/>
      <c r="G139"/>
      <c r="H139"/>
      <c r="I139"/>
    </row>
    <row r="140" spans="1:9" x14ac:dyDescent="0.2">
      <c r="A140"/>
      <c r="B140"/>
      <c r="C140"/>
      <c r="D140"/>
      <c r="E140"/>
      <c r="F140"/>
      <c r="G140"/>
      <c r="H140"/>
      <c r="I140"/>
    </row>
    <row r="141" spans="1:9" x14ac:dyDescent="0.2">
      <c r="A141"/>
      <c r="B141"/>
      <c r="C141"/>
      <c r="D141"/>
      <c r="E141"/>
      <c r="F141"/>
      <c r="G141"/>
      <c r="H141"/>
      <c r="I141"/>
    </row>
    <row r="142" spans="1:9" x14ac:dyDescent="0.2">
      <c r="A142"/>
      <c r="B142"/>
      <c r="C142"/>
      <c r="D142"/>
      <c r="E142"/>
      <c r="F142"/>
      <c r="G142"/>
      <c r="H142"/>
      <c r="I142"/>
    </row>
    <row r="143" spans="1:9" x14ac:dyDescent="0.2">
      <c r="A143"/>
      <c r="B143"/>
      <c r="C143"/>
      <c r="D143"/>
      <c r="E143"/>
      <c r="F143"/>
      <c r="G143"/>
      <c r="H143"/>
      <c r="I143"/>
    </row>
    <row r="144" spans="1:9" x14ac:dyDescent="0.2">
      <c r="A144"/>
      <c r="B144"/>
      <c r="C144"/>
      <c r="D144"/>
      <c r="E144"/>
      <c r="F144"/>
      <c r="G144"/>
      <c r="H144"/>
      <c r="I144"/>
    </row>
    <row r="145" spans="1:10" x14ac:dyDescent="0.2">
      <c r="A145"/>
      <c r="B145"/>
      <c r="C145"/>
      <c r="D145"/>
      <c r="E145"/>
      <c r="F145"/>
      <c r="G145"/>
      <c r="H145"/>
      <c r="I145"/>
    </row>
    <row r="146" spans="1:10" x14ac:dyDescent="0.2">
      <c r="A146"/>
      <c r="B146"/>
      <c r="C146"/>
      <c r="D146"/>
      <c r="E146"/>
      <c r="F146"/>
      <c r="G146"/>
      <c r="H146"/>
      <c r="I146"/>
    </row>
    <row r="147" spans="1:10" x14ac:dyDescent="0.2">
      <c r="A147"/>
      <c r="B147"/>
      <c r="C147"/>
      <c r="D147"/>
      <c r="E147"/>
      <c r="F147"/>
      <c r="G147"/>
      <c r="H147"/>
      <c r="I147"/>
    </row>
    <row r="148" spans="1:10" x14ac:dyDescent="0.2">
      <c r="A148"/>
      <c r="B148"/>
      <c r="C148"/>
      <c r="D148"/>
      <c r="E148"/>
      <c r="F148"/>
      <c r="G148"/>
      <c r="H148"/>
      <c r="I148"/>
    </row>
    <row r="149" spans="1:10" x14ac:dyDescent="0.2">
      <c r="A149"/>
      <c r="B149"/>
      <c r="C149"/>
      <c r="D149"/>
      <c r="E149"/>
      <c r="F149"/>
      <c r="G149"/>
      <c r="H149"/>
      <c r="I149"/>
    </row>
    <row r="150" spans="1:10" x14ac:dyDescent="0.2">
      <c r="A150"/>
      <c r="B150"/>
      <c r="C150"/>
      <c r="D150"/>
      <c r="E150"/>
      <c r="F150"/>
      <c r="G150"/>
      <c r="H150"/>
      <c r="I150"/>
    </row>
    <row r="151" spans="1:10" x14ac:dyDescent="0.2">
      <c r="A151"/>
      <c r="B151"/>
      <c r="C151"/>
      <c r="D151"/>
      <c r="E151"/>
      <c r="F151"/>
      <c r="G151"/>
      <c r="H151"/>
      <c r="I151"/>
    </row>
    <row r="152" spans="1:10" x14ac:dyDescent="0.2">
      <c r="A152"/>
      <c r="B152"/>
      <c r="C152"/>
      <c r="D152"/>
      <c r="E152"/>
      <c r="F152"/>
      <c r="G152"/>
      <c r="H152"/>
      <c r="I152"/>
    </row>
    <row r="153" spans="1:10" x14ac:dyDescent="0.2">
      <c r="A153"/>
      <c r="B153"/>
      <c r="C153"/>
      <c r="D153"/>
      <c r="E153"/>
      <c r="F153"/>
      <c r="G153"/>
      <c r="H153"/>
      <c r="I153"/>
    </row>
    <row r="154" spans="1:10" x14ac:dyDescent="0.2">
      <c r="A154"/>
      <c r="B154"/>
      <c r="C154"/>
      <c r="D154"/>
      <c r="E154"/>
      <c r="F154"/>
      <c r="G154"/>
      <c r="H154"/>
      <c r="I154"/>
    </row>
    <row r="155" spans="1:10" x14ac:dyDescent="0.2">
      <c r="A155"/>
      <c r="B155"/>
      <c r="C155"/>
      <c r="D155"/>
      <c r="E155"/>
      <c r="F155"/>
      <c r="G155"/>
      <c r="H155"/>
      <c r="I155"/>
    </row>
    <row r="156" spans="1:10" x14ac:dyDescent="0.2">
      <c r="A156"/>
      <c r="B156"/>
      <c r="C156"/>
      <c r="D156"/>
      <c r="E156"/>
      <c r="F156"/>
      <c r="G156"/>
      <c r="H156"/>
      <c r="I156"/>
    </row>
    <row r="157" spans="1:10" x14ac:dyDescent="0.2">
      <c r="A157"/>
      <c r="B157"/>
      <c r="C157"/>
      <c r="D157"/>
      <c r="E157"/>
      <c r="F157"/>
      <c r="G157"/>
      <c r="H157"/>
      <c r="I157"/>
      <c r="J157" s="186"/>
    </row>
  </sheetData>
  <sheetProtection sheet="1" objects="1" scenarios="1" selectLockedCells="1"/>
  <mergeCells count="2">
    <mergeCell ref="F2:I2"/>
    <mergeCell ref="H4:I4"/>
  </mergeCells>
  <printOptions horizontalCentered="1"/>
  <pageMargins left="0.19685039370078741" right="0.19685039370078741" top="0.39370078740157483" bottom="0.39370078740157483" header="0.11811023622047245" footer="0.11811023622047245"/>
  <pageSetup scale="90" fitToHeight="2" orientation="portrait" r:id="rId1"/>
  <headerFooter alignWithMargins="0"/>
  <rowBreaks count="1" manualBreakCount="1">
    <brk id="105"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4"/>
  <sheetViews>
    <sheetView showGridLines="0" showRowColHeaders="0" showZeros="0" zoomScale="90" zoomScaleNormal="90" workbookViewId="0">
      <pane xSplit="3" ySplit="6" topLeftCell="D7" activePane="bottomRight" state="frozen"/>
      <selection activeCell="Q26" sqref="Q26"/>
      <selection pane="topRight" activeCell="Q26" sqref="Q26"/>
      <selection pane="bottomLeft" activeCell="Q26" sqref="Q26"/>
      <selection pane="bottomRight" activeCell="G6" sqref="G6"/>
    </sheetView>
  </sheetViews>
  <sheetFormatPr baseColWidth="10" defaultColWidth="10.85546875" defaultRowHeight="12.75" x14ac:dyDescent="0.2"/>
  <cols>
    <col min="1" max="2" width="2.140625" style="153" customWidth="1"/>
    <col min="3" max="3" width="13.7109375" style="153" customWidth="1"/>
    <col min="4" max="4" width="6.85546875" style="153" customWidth="1"/>
    <col min="5" max="5" width="9.28515625" style="153" customWidth="1"/>
    <col min="6" max="6" width="6.85546875" style="153" customWidth="1"/>
    <col min="7" max="7" width="9.28515625" style="153" customWidth="1"/>
    <col min="8" max="8" width="6.85546875" style="153" customWidth="1"/>
    <col min="9" max="9" width="13.7109375" style="153" customWidth="1"/>
    <col min="10" max="10" width="11.28515625" style="153" customWidth="1"/>
    <col min="11" max="11" width="10" style="153" bestFit="1" customWidth="1"/>
    <col min="12" max="12" width="9.28515625" style="153" customWidth="1"/>
    <col min="13" max="13" width="10" style="153" bestFit="1" customWidth="1"/>
    <col min="14" max="14" width="9.28515625" style="153" customWidth="1"/>
    <col min="15" max="15" width="10" style="153" bestFit="1" customWidth="1"/>
    <col min="16" max="16" width="9.28515625" style="153" customWidth="1"/>
    <col min="17" max="17" width="2.85546875" style="153" customWidth="1"/>
    <col min="18" max="18" width="13.28515625" style="153" bestFit="1" customWidth="1"/>
    <col min="19" max="16384" width="10.85546875" style="153"/>
  </cols>
  <sheetData>
    <row r="1" spans="1:17" ht="144" customHeight="1" x14ac:dyDescent="0.2">
      <c r="A1"/>
      <c r="B1"/>
      <c r="C1"/>
      <c r="D1">
        <v>2</v>
      </c>
      <c r="E1"/>
      <c r="F1">
        <v>3</v>
      </c>
      <c r="G1"/>
      <c r="H1">
        <v>4</v>
      </c>
      <c r="I1"/>
      <c r="J1"/>
      <c r="K1">
        <v>5</v>
      </c>
      <c r="L1"/>
      <c r="M1">
        <v>6</v>
      </c>
      <c r="N1"/>
      <c r="O1">
        <v>7</v>
      </c>
      <c r="P1"/>
      <c r="Q1"/>
    </row>
    <row r="2" spans="1:17" ht="15.75" x14ac:dyDescent="0.25">
      <c r="A2"/>
      <c r="B2"/>
      <c r="C2" s="237" t="s">
        <v>0</v>
      </c>
      <c r="D2"/>
      <c r="E2"/>
      <c r="F2" s="382" t="str">
        <f>"Remplacer les prix fictifs des cases vert foncé par vos prix moyens de "&amp;C6</f>
        <v>Remplacer les prix fictifs des cases vert foncé par vos prix moyens de 2023</v>
      </c>
      <c r="G2" s="382"/>
      <c r="H2" s="382"/>
      <c r="I2" s="382"/>
      <c r="J2" s="382"/>
      <c r="K2" s="382"/>
      <c r="L2" s="382"/>
      <c r="M2" s="382"/>
      <c r="N2" s="382"/>
      <c r="O2" s="382"/>
      <c r="P2"/>
      <c r="Q2"/>
    </row>
    <row r="3" spans="1:17" ht="13.5" thickBot="1" x14ac:dyDescent="0.25">
      <c r="A3"/>
      <c r="B3"/>
      <c r="C3"/>
      <c r="D3"/>
      <c r="E3"/>
      <c r="F3"/>
      <c r="G3"/>
      <c r="H3"/>
      <c r="I3"/>
      <c r="J3"/>
      <c r="K3"/>
      <c r="L3"/>
      <c r="M3"/>
      <c r="N3"/>
      <c r="O3"/>
      <c r="P3"/>
      <c r="Q3"/>
    </row>
    <row r="4" spans="1:17" x14ac:dyDescent="0.2">
      <c r="A4"/>
      <c r="B4"/>
      <c r="C4" s="238" t="s">
        <v>36</v>
      </c>
      <c r="D4" s="391" t="s">
        <v>1</v>
      </c>
      <c r="E4" s="391"/>
      <c r="F4" s="391" t="s">
        <v>2</v>
      </c>
      <c r="G4" s="391"/>
      <c r="H4" s="396" t="s">
        <v>3</v>
      </c>
      <c r="I4" s="397"/>
      <c r="J4" s="391" t="s">
        <v>10</v>
      </c>
      <c r="K4" s="391"/>
      <c r="L4" s="391" t="s">
        <v>11</v>
      </c>
      <c r="M4" s="391"/>
      <c r="N4" s="391" t="s">
        <v>12</v>
      </c>
      <c r="O4" s="392"/>
      <c r="P4"/>
      <c r="Q4" s="239"/>
    </row>
    <row r="5" spans="1:17" ht="13.5" thickBot="1" x14ac:dyDescent="0.25">
      <c r="A5"/>
      <c r="B5"/>
      <c r="C5" s="240" t="s">
        <v>80</v>
      </c>
      <c r="D5" s="241" t="s">
        <v>4</v>
      </c>
      <c r="E5" s="242" t="s">
        <v>5</v>
      </c>
      <c r="F5" s="241" t="s">
        <v>4</v>
      </c>
      <c r="G5" s="242" t="s">
        <v>5</v>
      </c>
      <c r="H5" s="241" t="s">
        <v>4</v>
      </c>
      <c r="I5" s="341" t="s">
        <v>5</v>
      </c>
      <c r="J5" s="241" t="s">
        <v>4</v>
      </c>
      <c r="K5" s="242" t="s">
        <v>5</v>
      </c>
      <c r="L5" s="241" t="s">
        <v>4</v>
      </c>
      <c r="M5" s="242" t="s">
        <v>5</v>
      </c>
      <c r="N5" s="241" t="s">
        <v>4</v>
      </c>
      <c r="O5" s="243" t="s">
        <v>5</v>
      </c>
      <c r="P5"/>
      <c r="Q5" s="239"/>
    </row>
    <row r="6" spans="1:17" ht="15" customHeight="1" thickBot="1" x14ac:dyDescent="0.25">
      <c r="A6"/>
      <c r="B6"/>
      <c r="C6" s="244">
        <f>Saisie!C4</f>
        <v>2023</v>
      </c>
      <c r="D6" s="231">
        <f>VLOOKUP($C6,Saisie!$C$4:$J$44,D$1,FALSE)/VLOOKUP($C$6,Saisie!$C$4:$J$44,D$1,FALSE)*100</f>
        <v>100</v>
      </c>
      <c r="E6" s="355">
        <v>10</v>
      </c>
      <c r="F6" s="231">
        <f>VLOOKUP($C6,Saisie!$C$4:$J$44,F$1,FALSE)/VLOOKUP($C$6,Saisie!$C$4:$J$44,F$1,FALSE)*100</f>
        <v>100</v>
      </c>
      <c r="G6" s="355">
        <v>10</v>
      </c>
      <c r="H6" s="231">
        <v>100</v>
      </c>
      <c r="I6" s="356">
        <f>Saisie!O11/100</f>
        <v>1.8744777868529487</v>
      </c>
      <c r="J6" s="231">
        <v>100</v>
      </c>
      <c r="K6" s="355">
        <v>10</v>
      </c>
      <c r="L6" s="231">
        <v>100</v>
      </c>
      <c r="M6" s="355">
        <v>10</v>
      </c>
      <c r="N6" s="232">
        <v>100</v>
      </c>
      <c r="O6" s="355">
        <v>10</v>
      </c>
      <c r="P6"/>
      <c r="Q6" s="239"/>
    </row>
    <row r="7" spans="1:17" ht="15.75" customHeight="1" thickBot="1" x14ac:dyDescent="0.25">
      <c r="A7"/>
      <c r="B7"/>
      <c r="C7"/>
      <c r="D7"/>
      <c r="E7"/>
      <c r="F7"/>
      <c r="G7"/>
      <c r="H7"/>
      <c r="I7"/>
      <c r="J7"/>
      <c r="K7"/>
      <c r="L7"/>
      <c r="M7"/>
      <c r="N7"/>
      <c r="O7"/>
      <c r="P7"/>
      <c r="Q7" s="239"/>
    </row>
    <row r="8" spans="1:17" ht="27" customHeight="1" thickBot="1" x14ac:dyDescent="0.25">
      <c r="A8"/>
      <c r="B8"/>
      <c r="C8" s="138" t="s">
        <v>79</v>
      </c>
      <c r="D8" s="245"/>
      <c r="E8" s="222" t="s">
        <v>6</v>
      </c>
      <c r="F8" s="246"/>
      <c r="G8" s="222" t="s">
        <v>6</v>
      </c>
      <c r="H8" s="246"/>
      <c r="I8" s="342" t="s">
        <v>118</v>
      </c>
      <c r="J8" s="246"/>
      <c r="K8" s="222" t="s">
        <v>6</v>
      </c>
      <c r="L8" s="246"/>
      <c r="M8" s="222" t="s">
        <v>6</v>
      </c>
      <c r="N8" s="246"/>
      <c r="O8" s="223" t="s">
        <v>6</v>
      </c>
      <c r="P8"/>
      <c r="Q8" s="239"/>
    </row>
    <row r="9" spans="1:17" ht="13.5" thickTop="1" x14ac:dyDescent="0.2">
      <c r="A9"/>
      <c r="B9"/>
      <c r="C9" s="247">
        <f>DATE(C6+1,1,1)</f>
        <v>45292</v>
      </c>
      <c r="D9" s="248">
        <f>VLOOKUP($C9,Saisie!$C$4:$J$44,D$1,FALSE)/VLOOKUP($C$6,Saisie!$C$4:$J$44,D$1,FALSE)*100</f>
        <v>84.774771494118937</v>
      </c>
      <c r="E9" s="249">
        <f t="shared" ref="E9:E27" si="0">$E$6*D9/$D$6</f>
        <v>8.477477149411893</v>
      </c>
      <c r="F9" s="248">
        <f>VLOOKUP($C9,Saisie!$C$4:$J$44,F$1,FALSE)/VLOOKUP($C$6,Saisie!$C$4:$J$44,F$1,FALSE)*100</f>
        <v>92.277033759478485</v>
      </c>
      <c r="G9" s="249">
        <f>$G$6*F9/$F$6</f>
        <v>9.2277033759478488</v>
      </c>
      <c r="H9" s="248">
        <f>VLOOKUP($C9,Saisie!$C$4:$J$44,H$1,FALSE)/VLOOKUP($C$6,Saisie!$C$4:$J$44,H$1,FALSE)*100</f>
        <v>95.036389778036835</v>
      </c>
      <c r="I9" s="360">
        <v>1.778935991633638</v>
      </c>
      <c r="J9" s="248">
        <f>VLOOKUP($C9,Saisie!$C$4:$J$44,K$1,FALSE)/VLOOKUP($C$6,Saisie!$C$4:$J$44,K$1,FALSE)*100</f>
        <v>90.240553045010884</v>
      </c>
      <c r="K9" s="249">
        <f t="shared" ref="K9:K27" si="1">$K$6*J9/$J$6</f>
        <v>9.0240553045010881</v>
      </c>
      <c r="L9" s="248">
        <f>VLOOKUP($C9,Saisie!$C$4:$J$44,M$1,FALSE)/VLOOKUP($C$6,Saisie!$C$4:$J$44,M$1,FALSE)*100</f>
        <v>92.542008734788411</v>
      </c>
      <c r="M9" s="249">
        <f t="shared" ref="M9:M27" si="2">$M$6*L9/$L$6</f>
        <v>9.2542008734788404</v>
      </c>
      <c r="N9" s="248">
        <f>VLOOKUP($C9,Saisie!$C$4:$J$44,O$1,FALSE)/VLOOKUP($C$6,Saisie!$C$4:$J$44,O$1,FALSE)*100</f>
        <v>90.697038823203926</v>
      </c>
      <c r="O9" s="250">
        <f t="shared" ref="O9:O27" si="3">$O$6*N9/$N$6</f>
        <v>9.0697038823203915</v>
      </c>
      <c r="P9"/>
      <c r="Q9" s="239"/>
    </row>
    <row r="10" spans="1:17" x14ac:dyDescent="0.2">
      <c r="A10"/>
      <c r="B10"/>
      <c r="C10" s="247">
        <f t="shared" ref="C10:C20" si="4">DATE(YEAR(C9),MONTH(C9)+1,1)</f>
        <v>45323</v>
      </c>
      <c r="D10" s="248">
        <f>VLOOKUP($C10,Saisie!$C$4:$J$44,D$1,FALSE)/VLOOKUP($C$6,Saisie!$C$4:$J$44,D$1,FALSE)*100</f>
        <v>77.928698882050909</v>
      </c>
      <c r="E10" s="249">
        <f t="shared" si="0"/>
        <v>7.7928698882050913</v>
      </c>
      <c r="F10" s="248">
        <f>VLOOKUP($C10,Saisie!$C$4:$J$44,F$1,FALSE)/VLOOKUP($C$6,Saisie!$C$4:$J$44,F$1,FALSE)*100</f>
        <v>84.981338557411377</v>
      </c>
      <c r="G10" s="249">
        <f>$G$6*F10/$F$6</f>
        <v>8.4981338557411377</v>
      </c>
      <c r="H10" s="248">
        <f>VLOOKUP($C10,Saisie!$C$4:$J$44,H$1,FALSE)/VLOOKUP($C$6,Saisie!$C$4:$J$44,H$1,FALSE)*100</f>
        <v>97.930224429722813</v>
      </c>
      <c r="I10" s="360">
        <v>1.8331041542473918</v>
      </c>
      <c r="J10" s="248">
        <f>VLOOKUP($C10,Saisie!$C$4:$J$44,K$1,FALSE)/VLOOKUP($C$6,Saisie!$C$4:$J$44,K$1,FALSE)*100</f>
        <v>85.616172973303534</v>
      </c>
      <c r="K10" s="249">
        <f t="shared" si="1"/>
        <v>8.5616172973303541</v>
      </c>
      <c r="L10" s="248">
        <f>VLOOKUP($C10,Saisie!$C$4:$J$44,M$1,FALSE)/VLOOKUP($C$6,Saisie!$C$4:$J$44,M$1,FALSE)*100</f>
        <v>87.829399047642127</v>
      </c>
      <c r="M10" s="249">
        <f t="shared" si="2"/>
        <v>8.7829399047642127</v>
      </c>
      <c r="N10" s="248">
        <f>VLOOKUP($C10,Saisie!$C$4:$J$44,O$1,FALSE)/VLOOKUP($C$6,Saisie!$C$4:$J$44,O$1,FALSE)*100</f>
        <v>85.535621410015906</v>
      </c>
      <c r="O10" s="250">
        <f t="shared" si="3"/>
        <v>8.5535621410015903</v>
      </c>
      <c r="P10"/>
      <c r="Q10" s="239"/>
    </row>
    <row r="11" spans="1:17" x14ac:dyDescent="0.2">
      <c r="A11"/>
      <c r="B11"/>
      <c r="C11" s="247">
        <f t="shared" si="4"/>
        <v>45352</v>
      </c>
      <c r="D11" s="248">
        <f>VLOOKUP($C11,Saisie!$C$4:$J$44,D$1,FALSE)/VLOOKUP($C$6,Saisie!$C$4:$J$44,D$1,FALSE)*100</f>
        <v>75.015476493936859</v>
      </c>
      <c r="E11" s="249">
        <f t="shared" si="0"/>
        <v>7.501547649393685</v>
      </c>
      <c r="F11" s="248">
        <f>VLOOKUP($C11,Saisie!$C$4:$J$44,F$1,FALSE)/VLOOKUP($C$6,Saisie!$C$4:$J$44,F$1,FALSE)*100</f>
        <v>81.468596423082758</v>
      </c>
      <c r="G11" s="249">
        <f>$G$6*F11/$F$6</f>
        <v>8.1468596423082769</v>
      </c>
      <c r="H11" s="248">
        <f>VLOOKUP($C11,Saisie!$C$4:$J$44,H$1,FALSE)/VLOOKUP($C$6,Saisie!$C$4:$J$44,H$1,FALSE)*100</f>
        <v>102.64966644661327</v>
      </c>
      <c r="I11" s="360">
        <v>1.9214448970290028</v>
      </c>
      <c r="J11" s="248">
        <f>VLOOKUP($C11,Saisie!$C$4:$J$44,K$1,FALSE)/VLOOKUP($C$6,Saisie!$C$4:$J$44,K$1,FALSE)*100</f>
        <v>83.623152178588796</v>
      </c>
      <c r="K11" s="249">
        <f t="shared" si="1"/>
        <v>8.36231521785888</v>
      </c>
      <c r="L11" s="248">
        <f>VLOOKUP($C11,Saisie!$C$4:$J$44,M$1,FALSE)/VLOOKUP($C$6,Saisie!$C$4:$J$44,M$1,FALSE)*100</f>
        <v>85.678920280086771</v>
      </c>
      <c r="M11" s="249">
        <f t="shared" si="2"/>
        <v>8.5678920280086786</v>
      </c>
      <c r="N11" s="248">
        <f>VLOOKUP($C11,Saisie!$C$4:$J$44,O$1,FALSE)/VLOOKUP($C$6,Saisie!$C$4:$J$44,O$1,FALSE)*100</f>
        <v>83.234817972150282</v>
      </c>
      <c r="O11" s="250">
        <f t="shared" si="3"/>
        <v>8.3234817972150275</v>
      </c>
      <c r="P11"/>
      <c r="Q11" s="239"/>
    </row>
    <row r="12" spans="1:17" x14ac:dyDescent="0.2">
      <c r="A12"/>
      <c r="B12"/>
      <c r="C12" s="247">
        <f t="shared" si="4"/>
        <v>45383</v>
      </c>
      <c r="D12" s="248">
        <f>VLOOKUP($C12,Saisie!$C$4:$J$44,D$1,FALSE)/VLOOKUP($C$6,Saisie!$C$4:$J$44,D$1,FALSE)*100</f>
        <v>76.544918247696742</v>
      </c>
      <c r="E12" s="249">
        <f t="shared" si="0"/>
        <v>7.654491824769674</v>
      </c>
      <c r="F12" s="248">
        <f>VLOOKUP($C12,Saisie!$C$4:$J$44,F$1,FALSE)/VLOOKUP($C$6,Saisie!$C$4:$J$44,F$1,FALSE)*100</f>
        <v>79.81355445594717</v>
      </c>
      <c r="G12" s="249">
        <f t="shared" ref="G12:G27" si="5">$G$6*F12/$F$6</f>
        <v>7.9813554455947164</v>
      </c>
      <c r="H12" s="248">
        <f>VLOOKUP($C12,Saisie!$C$4:$J$44,H$1,FALSE)/VLOOKUP($C$6,Saisie!$C$4:$J$44,H$1,FALSE)*100</f>
        <v>110.37120620610563</v>
      </c>
      <c r="I12" s="360">
        <v>2.0659803220495938</v>
      </c>
      <c r="J12" s="248">
        <f>VLOOKUP($C12,Saisie!$C$4:$J$44,K$1,FALSE)/VLOOKUP($C$6,Saisie!$C$4:$J$44,K$1,FALSE)*100</f>
        <v>84.453464601012627</v>
      </c>
      <c r="K12" s="249">
        <f t="shared" si="1"/>
        <v>8.4453464601012627</v>
      </c>
      <c r="L12" s="248">
        <f>VLOOKUP($C12,Saisie!$C$4:$J$44,M$1,FALSE)/VLOOKUP($C$6,Saisie!$C$4:$J$44,M$1,FALSE)*100</f>
        <v>85.563935817536731</v>
      </c>
      <c r="M12" s="249">
        <f t="shared" si="2"/>
        <v>8.5563935817536727</v>
      </c>
      <c r="N12" s="248">
        <f>VLOOKUP($C12,Saisie!$C$4:$J$44,O$1,FALSE)/VLOOKUP($C$6,Saisie!$C$4:$J$44,O$1,FALSE)*100</f>
        <v>83.547290446871642</v>
      </c>
      <c r="O12" s="250">
        <f t="shared" si="3"/>
        <v>8.3547290446871649</v>
      </c>
      <c r="P12"/>
      <c r="Q12" s="239"/>
    </row>
    <row r="13" spans="1:17" x14ac:dyDescent="0.2">
      <c r="A13"/>
      <c r="B13"/>
      <c r="C13" s="247">
        <f t="shared" si="4"/>
        <v>45413</v>
      </c>
      <c r="D13" s="248">
        <f>VLOOKUP($C13,Saisie!$C$4:$J$44,D$1,FALSE)/VLOOKUP($C$6,Saisie!$C$4:$J$44,D$1,FALSE)*100</f>
        <v>78.657004479079433</v>
      </c>
      <c r="E13" s="249">
        <f t="shared" si="0"/>
        <v>7.8657004479079431</v>
      </c>
      <c r="F13" s="248">
        <f>VLOOKUP($C13,Saisie!$C$4:$J$44,F$1,FALSE)/VLOOKUP($C$6,Saisie!$C$4:$J$44,F$1,FALSE)*100</f>
        <v>85.14346511745731</v>
      </c>
      <c r="G13" s="249">
        <f t="shared" si="5"/>
        <v>8.5143465117457318</v>
      </c>
      <c r="H13" s="248">
        <f>VLOOKUP($C13,Saisie!$C$4:$J$44,H$1,FALSE)/VLOOKUP($C$6,Saisie!$C$4:$J$44,H$1,FALSE)*100</f>
        <v>111.35090005948656</v>
      </c>
      <c r="I13" s="360">
        <v>2.0843186939156975</v>
      </c>
      <c r="J13" s="248">
        <f>VLOOKUP($C13,Saisie!$C$4:$J$44,K$1,FALSE)/VLOOKUP($C$6,Saisie!$C$4:$J$44,K$1,FALSE)*100</f>
        <v>86.070222591964921</v>
      </c>
      <c r="K13" s="249">
        <f t="shared" si="1"/>
        <v>8.6070222591964924</v>
      </c>
      <c r="L13" s="248">
        <f>VLOOKUP($C13,Saisie!$C$4:$J$44,M$1,FALSE)/VLOOKUP($C$6,Saisie!$C$4:$J$44,M$1,FALSE)*100</f>
        <v>88.112457935583564</v>
      </c>
      <c r="M13" s="249">
        <f t="shared" si="2"/>
        <v>8.8112457935583564</v>
      </c>
      <c r="N13" s="248">
        <f>VLOOKUP($C13,Saisie!$C$4:$J$44,O$1,FALSE)/VLOOKUP($C$6,Saisie!$C$4:$J$44,O$1,FALSE)*100</f>
        <v>85.927583603465422</v>
      </c>
      <c r="O13" s="250">
        <f t="shared" si="3"/>
        <v>8.5927583603465436</v>
      </c>
      <c r="P13"/>
      <c r="Q13" s="239"/>
    </row>
    <row r="14" spans="1:17" x14ac:dyDescent="0.2">
      <c r="A14"/>
      <c r="B14"/>
      <c r="C14" s="247">
        <f t="shared" si="4"/>
        <v>45444</v>
      </c>
      <c r="D14" s="248">
        <f>VLOOKUP($C14,Saisie!$C$4:$J$44,D$1,FALSE)/VLOOKUP($C$6,Saisie!$C$4:$J$44,D$1,FALSE)*100</f>
        <v>79.23964895670224</v>
      </c>
      <c r="E14" s="249">
        <f t="shared" si="0"/>
        <v>7.923964895670224</v>
      </c>
      <c r="F14" s="248">
        <f>VLOOKUP($C14,Saisie!$C$4:$J$44,F$1,FALSE)/VLOOKUP($C$6,Saisie!$C$4:$J$44,F$1,FALSE)*100</f>
        <v>89.439818958674607</v>
      </c>
      <c r="G14" s="249">
        <f t="shared" si="5"/>
        <v>8.9439818958674611</v>
      </c>
      <c r="H14" s="248">
        <f>VLOOKUP($C14,Saisie!$C$4:$J$44,H$1,FALSE)/VLOOKUP($C$6,Saisie!$C$4:$J$44,H$1,FALSE)*100</f>
        <v>111.54535122469653</v>
      </c>
      <c r="I14" s="360">
        <v>2.0879585225877988</v>
      </c>
      <c r="J14" s="248">
        <f>VLOOKUP($C14,Saisie!$C$4:$J$44,K$1,FALSE)/VLOOKUP($C$6,Saisie!$C$4:$J$44,K$1,FALSE)*100</f>
        <v>86.690688718541722</v>
      </c>
      <c r="K14" s="249">
        <f t="shared" si="1"/>
        <v>8.6690688718541722</v>
      </c>
      <c r="L14" s="248">
        <f>VLOOKUP($C14,Saisie!$C$4:$J$44,M$1,FALSE)/VLOOKUP($C$6,Saisie!$C$4:$J$44,M$1,FALSE)*100</f>
        <v>89.820160742868453</v>
      </c>
      <c r="M14" s="249">
        <f t="shared" si="2"/>
        <v>8.9820160742868449</v>
      </c>
      <c r="N14" s="248">
        <f>VLOOKUP($C14,Saisie!$C$4:$J$44,O$1,FALSE)/VLOOKUP($C$6,Saisie!$C$4:$J$44,O$1,FALSE)*100</f>
        <v>87.307394954444163</v>
      </c>
      <c r="O14" s="250">
        <f t="shared" si="3"/>
        <v>8.730739495444416</v>
      </c>
      <c r="P14"/>
      <c r="Q14" s="239"/>
    </row>
    <row r="15" spans="1:17" x14ac:dyDescent="0.2">
      <c r="A15"/>
      <c r="B15"/>
      <c r="C15" s="247">
        <f t="shared" si="4"/>
        <v>45474</v>
      </c>
      <c r="D15" s="248">
        <f>VLOOKUP($C15,Saisie!$C$4:$J$44,D$1,FALSE)/VLOOKUP($C$6,Saisie!$C$4:$J$44,D$1,FALSE)*100</f>
        <v>75.918575434252219</v>
      </c>
      <c r="E15" s="249">
        <f t="shared" si="0"/>
        <v>7.5918575434252213</v>
      </c>
      <c r="F15" s="248">
        <f>VLOOKUP($C15,Saisie!$C$4:$J$44,F$1,FALSE)/VLOOKUP($C$6,Saisie!$C$4:$J$44,F$1,FALSE)*100</f>
        <v>88.061743198284148</v>
      </c>
      <c r="G15" s="249">
        <f t="shared" si="5"/>
        <v>8.8061743198284148</v>
      </c>
      <c r="H15" s="248">
        <f>VLOOKUP($C15,Saisie!$C$4:$J$44,H$1,FALSE)/VLOOKUP($C$6,Saisie!$C$4:$J$44,H$1,FALSE)*100</f>
        <v>110.99942880811047</v>
      </c>
      <c r="I15" s="360">
        <v>2.0777396891728008</v>
      </c>
      <c r="J15" s="248">
        <f>VLOOKUP($C15,Saisie!$C$4:$J$44,K$1,FALSE)/VLOOKUP($C$6,Saisie!$C$4:$J$44,K$1,FALSE)*100</f>
        <v>84.58078774380013</v>
      </c>
      <c r="K15" s="249">
        <f t="shared" si="1"/>
        <v>8.458078774380013</v>
      </c>
      <c r="L15" s="248">
        <f>VLOOKUP($C15,Saisie!$C$4:$J$44,M$1,FALSE)/VLOOKUP($C$6,Saisie!$C$4:$J$44,M$1,FALSE)*100</f>
        <v>88.30232476459831</v>
      </c>
      <c r="M15" s="249">
        <f t="shared" si="2"/>
        <v>8.8302324764598321</v>
      </c>
      <c r="N15" s="248">
        <f>VLOOKUP($C15,Saisie!$C$4:$J$44,O$1,FALSE)/VLOOKUP($C$6,Saisie!$C$4:$J$44,O$1,FALSE)*100</f>
        <v>85.356584632894055</v>
      </c>
      <c r="O15" s="250">
        <f t="shared" si="3"/>
        <v>8.5356584632894048</v>
      </c>
      <c r="P15"/>
      <c r="Q15" s="239"/>
    </row>
    <row r="16" spans="1:17" x14ac:dyDescent="0.2">
      <c r="A16"/>
      <c r="B16"/>
      <c r="C16" s="247">
        <f t="shared" si="4"/>
        <v>45505</v>
      </c>
      <c r="D16" s="248">
        <f>VLOOKUP($C16,Saisie!$C$4:$J$44,D$1,FALSE)/VLOOKUP($C$6,Saisie!$C$4:$J$44,D$1,FALSE)*100</f>
        <v>74.724154255125455</v>
      </c>
      <c r="E16" s="249">
        <f t="shared" si="0"/>
        <v>7.472415425512545</v>
      </c>
      <c r="F16" s="248">
        <f>VLOOKUP($C16,Saisie!$C$4:$J$44,F$1,FALSE)/VLOOKUP($C$6,Saisie!$C$4:$J$44,F$1,FALSE)*100</f>
        <v>90.588215425666661</v>
      </c>
      <c r="G16" s="249">
        <f t="shared" si="5"/>
        <v>9.0588215425666654</v>
      </c>
      <c r="H16" s="248">
        <f>VLOOKUP($C16,Saisie!$C$4:$J$44,H$1,FALSE)/VLOOKUP($C$6,Saisie!$C$4:$J$44,H$1,FALSE)*100</f>
        <v>113.54801770008068</v>
      </c>
      <c r="I16" s="360">
        <v>2.1254453787343719</v>
      </c>
      <c r="J16" s="248">
        <f>VLOOKUP($C16,Saisie!$C$4:$J$44,K$1,FALSE)/VLOOKUP($C$6,Saisie!$C$4:$J$44,K$1,FALSE)*100</f>
        <v>84.008531449911857</v>
      </c>
      <c r="K16" s="249">
        <f t="shared" si="1"/>
        <v>8.400853144991185</v>
      </c>
      <c r="L16" s="248">
        <f>VLOOKUP($C16,Saisie!$C$4:$J$44,M$1,FALSE)/VLOOKUP($C$6,Saisie!$C$4:$J$44,M$1,FALSE)*100</f>
        <v>88.830799263088551</v>
      </c>
      <c r="M16" s="249">
        <f t="shared" si="2"/>
        <v>8.8830799263088558</v>
      </c>
      <c r="N16" s="248">
        <f>VLOOKUP($C16,Saisie!$C$4:$J$44,O$1,FALSE)/VLOOKUP($C$6,Saisie!$C$4:$J$44,O$1,FALSE)*100</f>
        <v>85.428328286436411</v>
      </c>
      <c r="O16" s="250">
        <f t="shared" si="3"/>
        <v>8.5428328286436415</v>
      </c>
      <c r="P16"/>
      <c r="Q16" s="239"/>
    </row>
    <row r="17" spans="1:18" x14ac:dyDescent="0.2">
      <c r="A17"/>
      <c r="B17"/>
      <c r="C17" s="247">
        <f t="shared" si="4"/>
        <v>45536</v>
      </c>
      <c r="D17" s="248">
        <f>VLOOKUP($C17,Saisie!$C$4:$J$44,D$1,FALSE)/VLOOKUP($C$6,Saisie!$C$4:$J$44,D$1,FALSE)*100</f>
        <v>72.757729143148467</v>
      </c>
      <c r="E17" s="249">
        <f t="shared" si="0"/>
        <v>7.2757729143148469</v>
      </c>
      <c r="F17" s="248">
        <f>VLOOKUP($C17,Saisie!$C$4:$J$44,F$1,FALSE)/VLOOKUP($C$6,Saisie!$C$4:$J$44,F$1,FALSE)*100</f>
        <v>88.358975225035039</v>
      </c>
      <c r="G17" s="249">
        <f t="shared" si="5"/>
        <v>8.8358975225035028</v>
      </c>
      <c r="H17" s="248">
        <f>VLOOKUP($C17,Saisie!$C$4:$J$44,H$1,FALSE)/VLOOKUP($C$6,Saisie!$C$4:$J$44,H$1,FALSE)*100</f>
        <v>108.10015818979421</v>
      </c>
      <c r="I17" s="360">
        <v>2.0234697735704237</v>
      </c>
      <c r="J17" s="248">
        <f>VLOOKUP($C17,Saisie!$C$4:$J$44,K$1,FALSE)/VLOOKUP($C$6,Saisie!$C$4:$J$44,K$1,FALSE)*100</f>
        <v>82.672000122728122</v>
      </c>
      <c r="K17" s="249">
        <f t="shared" si="1"/>
        <v>8.2672000122728129</v>
      </c>
      <c r="L17" s="248">
        <f>VLOOKUP($C17,Saisie!$C$4:$J$44,M$1,FALSE)/VLOOKUP($C$6,Saisie!$C$4:$J$44,M$1,FALSE)*100</f>
        <v>87.429657952374498</v>
      </c>
      <c r="M17" s="249">
        <f t="shared" si="2"/>
        <v>8.7429657952374491</v>
      </c>
      <c r="N17" s="248">
        <f>VLOOKUP($C17,Saisie!$C$4:$J$44,O$1,FALSE)/VLOOKUP($C$6,Saisie!$C$4:$J$44,O$1,FALSE)*100</f>
        <v>83.911587965748353</v>
      </c>
      <c r="O17" s="250">
        <f t="shared" si="3"/>
        <v>8.3911587965748353</v>
      </c>
      <c r="P17"/>
      <c r="Q17" s="239"/>
    </row>
    <row r="18" spans="1:18" s="156" customFormat="1" x14ac:dyDescent="0.2">
      <c r="A18" s="22"/>
      <c r="B18" s="22"/>
      <c r="C18" s="247">
        <f t="shared" si="4"/>
        <v>45566</v>
      </c>
      <c r="D18" s="248">
        <f>VLOOKUP($C18,Saisie!$C$4:$J$44,D$1,FALSE)/VLOOKUP($C$6,Saisie!$C$4:$J$44,D$1,FALSE)*100</f>
        <v>73.005353046138154</v>
      </c>
      <c r="E18" s="249">
        <f t="shared" si="0"/>
        <v>7.3005353046138159</v>
      </c>
      <c r="F18" s="248">
        <f>VLOOKUP($C18,Saisie!$C$4:$J$44,F$1,FALSE)/VLOOKUP($C$6,Saisie!$C$4:$J$44,F$1,FALSE)*100</f>
        <v>78.145001942141079</v>
      </c>
      <c r="G18" s="249">
        <f t="shared" si="5"/>
        <v>7.8145001942141086</v>
      </c>
      <c r="H18" s="248">
        <f>VLOOKUP($C18,Saisie!$C$4:$J$44,H$1,FALSE)/VLOOKUP($C$6,Saisie!$C$4:$J$44,H$1,FALSE)*100</f>
        <v>112.61715567570315</v>
      </c>
      <c r="I18" s="360">
        <v>2.1080210640873434</v>
      </c>
      <c r="J18" s="248">
        <f>VLOOKUP($C18,Saisie!$C$4:$J$44,K$1,FALSE)/VLOOKUP($C$6,Saisie!$C$4:$J$44,K$1,FALSE)*100</f>
        <v>82.192418931572419</v>
      </c>
      <c r="K18" s="249">
        <f t="shared" si="1"/>
        <v>8.2192418931572426</v>
      </c>
      <c r="L18" s="248">
        <f>VLOOKUP($C18,Saisie!$C$4:$J$44,M$1,FALSE)/VLOOKUP($C$6,Saisie!$C$4:$J$44,M$1,FALSE)*100</f>
        <v>83.875207863626457</v>
      </c>
      <c r="M18" s="249">
        <f t="shared" si="2"/>
        <v>8.3875207863626446</v>
      </c>
      <c r="N18" s="248">
        <f>VLOOKUP($C18,Saisie!$C$4:$J$44,O$1,FALSE)/VLOOKUP($C$6,Saisie!$C$4:$J$44,O$1,FALSE)*100</f>
        <v>81.417005200839469</v>
      </c>
      <c r="O18" s="250">
        <f t="shared" si="3"/>
        <v>8.1417005200839476</v>
      </c>
      <c r="P18" s="22"/>
      <c r="Q18" s="239"/>
      <c r="R18" s="153"/>
    </row>
    <row r="19" spans="1:18" s="156" customFormat="1" x14ac:dyDescent="0.2">
      <c r="A19" s="22"/>
      <c r="B19" s="22"/>
      <c r="C19" s="247">
        <f t="shared" si="4"/>
        <v>45597</v>
      </c>
      <c r="D19" s="248">
        <f>VLOOKUP($C19,Saisie!$C$4:$J$44,D$1,FALSE)/VLOOKUP($C$6,Saisie!$C$4:$J$44,D$1,FALSE)*100</f>
        <v>80.632291943727296</v>
      </c>
      <c r="E19" s="249">
        <f t="shared" si="0"/>
        <v>8.0632291943727292</v>
      </c>
      <c r="F19" s="248">
        <f>VLOOKUP($C19,Saisie!$C$4:$J$44,F$1,FALSE)/VLOOKUP($C$6,Saisie!$C$4:$J$44,F$1,FALSE)*100</f>
        <v>74.646380646706376</v>
      </c>
      <c r="G19" s="249">
        <f t="shared" si="5"/>
        <v>7.4646380646706367</v>
      </c>
      <c r="H19" s="248">
        <f>VLOOKUP($C19,Saisie!$C$4:$J$44,H$1,FALSE)/VLOOKUP($C$6,Saisie!$C$4:$J$44,H$1,FALSE)*100</f>
        <v>108.3028677811688</v>
      </c>
      <c r="I19" s="262">
        <f t="shared" ref="I19:I27" si="6">$I$6*H19/$H$6</f>
        <v>2.0301131990827281</v>
      </c>
      <c r="J19" s="248">
        <f>VLOOKUP($C19,Saisie!$C$4:$J$44,K$1,FALSE)/VLOOKUP($C$6,Saisie!$C$4:$J$44,K$1,FALSE)*100</f>
        <v>86.626503255376718</v>
      </c>
      <c r="K19" s="249">
        <f t="shared" si="1"/>
        <v>8.6626503255376726</v>
      </c>
      <c r="L19" s="248">
        <f>VLOOKUP($C19,Saisie!$C$4:$J$44,M$1,FALSE)/VLOOKUP($C$6,Saisie!$C$4:$J$44,M$1,FALSE)*100</f>
        <v>84.992101187060172</v>
      </c>
      <c r="M19" s="249">
        <f t="shared" si="2"/>
        <v>8.4992101187060172</v>
      </c>
      <c r="N19" s="248">
        <f>VLOOKUP($C19,Saisie!$C$4:$J$44,O$1,FALSE)/VLOOKUP($C$6,Saisie!$C$4:$J$44,O$1,FALSE)*100</f>
        <v>84.191936837648385</v>
      </c>
      <c r="O19" s="250">
        <f t="shared" si="3"/>
        <v>8.4191936837648385</v>
      </c>
      <c r="P19" s="22"/>
      <c r="Q19" s="239"/>
      <c r="R19" s="153"/>
    </row>
    <row r="20" spans="1:18" ht="13.5" thickBot="1" x14ac:dyDescent="0.25">
      <c r="A20"/>
      <c r="B20"/>
      <c r="C20" s="251">
        <f t="shared" si="4"/>
        <v>45627</v>
      </c>
      <c r="D20" s="252">
        <f>VLOOKUP($C20,Saisie!$C$4:$J$44,D$1,FALSE)/VLOOKUP($C$6,Saisie!$C$4:$J$44,D$1,FALSE)*100</f>
        <v>84.164393058682279</v>
      </c>
      <c r="E20" s="253">
        <f t="shared" si="0"/>
        <v>8.4164393058682272</v>
      </c>
      <c r="F20" s="252">
        <f>VLOOKUP($C20,Saisie!$C$4:$J$44,F$1,FALSE)/VLOOKUP($C$6,Saisie!$C$4:$J$44,F$1,FALSE)*100</f>
        <v>75.757717518806459</v>
      </c>
      <c r="G20" s="253">
        <f t="shared" si="5"/>
        <v>7.5757717518806453</v>
      </c>
      <c r="H20" s="252">
        <f>VLOOKUP($C20,Saisie!$C$4:$J$44,H$1,FALSE)/VLOOKUP($C$6,Saisie!$C$4:$J$44,H$1,FALSE)*100</f>
        <v>103.7584083422575</v>
      </c>
      <c r="I20" s="264">
        <f t="shared" si="6"/>
        <v>1.9449283163677935</v>
      </c>
      <c r="J20" s="252">
        <f>VLOOKUP($C20,Saisie!$C$4:$J$44,K$1,FALSE)/VLOOKUP($C$6,Saisie!$C$4:$J$44,K$1,FALSE)*100</f>
        <v>88.848598686056548</v>
      </c>
      <c r="K20" s="253">
        <f t="shared" si="1"/>
        <v>8.8848598686056555</v>
      </c>
      <c r="L20" s="252">
        <f>VLOOKUP($C20,Saisie!$C$4:$J$44,M$1,FALSE)/VLOOKUP($C$6,Saisie!$C$4:$J$44,M$1,FALSE)*100</f>
        <v>86.480427292668622</v>
      </c>
      <c r="M20" s="253">
        <f t="shared" si="2"/>
        <v>8.6480427292668622</v>
      </c>
      <c r="N20" s="252">
        <f>VLOOKUP($C20,Saisie!$C$4:$J$44,O$1,FALSE)/VLOOKUP($C$6,Saisie!$C$4:$J$44,O$1,FALSE)*100</f>
        <v>86.176039385957921</v>
      </c>
      <c r="O20" s="254">
        <f t="shared" si="3"/>
        <v>8.6176039385957921</v>
      </c>
      <c r="P20"/>
      <c r="Q20" s="239"/>
    </row>
    <row r="21" spans="1:18" ht="6" customHeight="1" thickBot="1" x14ac:dyDescent="0.25">
      <c r="A21"/>
      <c r="B21"/>
      <c r="C21" s="255"/>
      <c r="D21" s="255"/>
      <c r="E21" s="255"/>
      <c r="F21" s="255"/>
      <c r="G21" s="255"/>
      <c r="H21" s="255"/>
      <c r="I21" s="255"/>
      <c r="J21" s="255"/>
      <c r="K21" s="255"/>
      <c r="L21" s="255"/>
      <c r="M21" s="255"/>
      <c r="N21" s="255"/>
      <c r="O21" s="255"/>
      <c r="P21"/>
      <c r="Q21" s="239"/>
    </row>
    <row r="22" spans="1:18" ht="12" customHeight="1" x14ac:dyDescent="0.2">
      <c r="A22"/>
      <c r="B22"/>
      <c r="C22" s="256">
        <f>DATE(YEAR(C20),MONTH(C20)+1,1)</f>
        <v>45658</v>
      </c>
      <c r="D22" s="257">
        <f>VLOOKUP($C22,Saisie!$C$4:$J$44,D$1,FALSE)/VLOOKUP($C$6,Saisie!$C$4:$J$44,D$1,FALSE)*100</f>
        <v>82.907144495174705</v>
      </c>
      <c r="E22" s="258">
        <f t="shared" si="0"/>
        <v>8.2907144495174698</v>
      </c>
      <c r="F22" s="257">
        <f>VLOOKUP($C22,Saisie!$C$4:$J$44,F$1,FALSE)/VLOOKUP($C$6,Saisie!$C$4:$J$44,F$1,FALSE)*100</f>
        <v>73.208647996430273</v>
      </c>
      <c r="G22" s="258">
        <f t="shared" si="5"/>
        <v>7.3208647996430276</v>
      </c>
      <c r="H22" s="257">
        <f>VLOOKUP($C22,Saisie!$C$4:$J$44,H$1,FALSE)/VLOOKUP($C$6,Saisie!$C$4:$J$44,H$1,FALSE)*100</f>
        <v>103.44734183932727</v>
      </c>
      <c r="I22" s="259">
        <f t="shared" si="6"/>
        <v>1.9390974438680262</v>
      </c>
      <c r="J22" s="260">
        <f>VLOOKUP($C22,Saisie!$C$4:$J$44,K$1,FALSE)/VLOOKUP($C$6,Saisie!$C$4:$J$44,K$1,FALSE)*100</f>
        <v>87.924700852988664</v>
      </c>
      <c r="K22" s="258">
        <f t="shared" si="1"/>
        <v>8.7924700852988664</v>
      </c>
      <c r="L22" s="257">
        <f>VLOOKUP($C22,Saisie!$C$4:$J$44,M$1,FALSE)/VLOOKUP($C$6,Saisie!$C$4:$J$44,M$1,FALSE)*100</f>
        <v>85.185087563234902</v>
      </c>
      <c r="M22" s="258">
        <f t="shared" si="2"/>
        <v>8.5185087563234898</v>
      </c>
      <c r="N22" s="257">
        <f>VLOOKUP($C22,Saisie!$C$4:$J$44,O$1,FALSE)/VLOOKUP($C$6,Saisie!$C$4:$J$44,O$1,FALSE)*100</f>
        <v>84.918724050254397</v>
      </c>
      <c r="O22" s="261">
        <f t="shared" si="3"/>
        <v>8.4918724050254397</v>
      </c>
      <c r="P22"/>
      <c r="Q22" s="239"/>
    </row>
    <row r="23" spans="1:18" x14ac:dyDescent="0.2">
      <c r="A23"/>
      <c r="B23"/>
      <c r="C23" s="247">
        <f t="shared" ref="C23:C33" si="7">DATE(YEAR(C22),MONTH(C22)+1,1)</f>
        <v>45689</v>
      </c>
      <c r="D23" s="248">
        <f>VLOOKUP($C23,Saisie!$C$4:$J$44,D$1,FALSE)/VLOOKUP($C$6,Saisie!$C$4:$J$44,D$1,FALSE)*100</f>
        <v>82.655674868219876</v>
      </c>
      <c r="E23" s="249">
        <f t="shared" si="0"/>
        <v>8.2655674868219879</v>
      </c>
      <c r="F23" s="248">
        <f>VLOOKUP($C23,Saisie!$C$4:$J$44,F$1,FALSE)/VLOOKUP($C$6,Saisie!$C$4:$J$44,F$1,FALSE)*100</f>
        <v>72.272695284851721</v>
      </c>
      <c r="G23" s="249">
        <f t="shared" si="5"/>
        <v>7.2272695284851718</v>
      </c>
      <c r="H23" s="248">
        <f>VLOOKUP($C23,Saisie!$C$4:$J$44,H$1,FALSE)/VLOOKUP($C$6,Saisie!$C$4:$J$44,H$1,FALSE)*100</f>
        <v>102.46656631896833</v>
      </c>
      <c r="I23" s="262">
        <f t="shared" si="6"/>
        <v>1.9207130246000066</v>
      </c>
      <c r="J23" s="263">
        <f>VLOOKUP($C23,Saisie!$C$4:$J$44,K$1,FALSE)/VLOOKUP($C$6,Saisie!$C$4:$J$44,K$1,FALSE)*100</f>
        <v>87.713601656455168</v>
      </c>
      <c r="K23" s="249">
        <f t="shared" si="1"/>
        <v>8.7713601656455165</v>
      </c>
      <c r="L23" s="248">
        <f>VLOOKUP($C23,Saisie!$C$4:$J$44,M$1,FALSE)/VLOOKUP($C$6,Saisie!$C$4:$J$44,M$1,FALSE)*100</f>
        <v>84.774520013302336</v>
      </c>
      <c r="M23" s="249">
        <f t="shared" si="2"/>
        <v>8.4774520013302332</v>
      </c>
      <c r="N23" s="248">
        <f>VLOOKUP($C23,Saisie!$C$4:$J$44,O$1,FALSE)/VLOOKUP($C$6,Saisie!$C$4:$J$44,O$1,FALSE)*100</f>
        <v>84.558202970423551</v>
      </c>
      <c r="O23" s="250">
        <f t="shared" si="3"/>
        <v>8.4558202970423562</v>
      </c>
      <c r="P23"/>
      <c r="Q23" s="239"/>
    </row>
    <row r="24" spans="1:18" x14ac:dyDescent="0.2">
      <c r="A24"/>
      <c r="B24"/>
      <c r="C24" s="247">
        <f t="shared" si="7"/>
        <v>45717</v>
      </c>
      <c r="D24" s="248">
        <f>VLOOKUP($C24,Saisie!$C$4:$J$44,D$1,FALSE)/VLOOKUP($C$6,Saisie!$C$4:$J$44,D$1,FALSE)*100</f>
        <v>84.374334632928381</v>
      </c>
      <c r="E24" s="249">
        <f t="shared" si="0"/>
        <v>8.4374334632928374</v>
      </c>
      <c r="F24" s="248">
        <f>VLOOKUP($C24,Saisie!$C$4:$J$44,F$1,FALSE)/VLOOKUP($C$6,Saisie!$C$4:$J$44,F$1,FALSE)*100</f>
        <v>73.616298797336668</v>
      </c>
      <c r="G24" s="249">
        <f t="shared" si="5"/>
        <v>7.3616298797336661</v>
      </c>
      <c r="H24" s="248">
        <f>VLOOKUP($C24,Saisie!$C$4:$J$44,H$1,FALSE)/VLOOKUP($C$6,Saisie!$C$4:$J$44,H$1,FALSE)*100</f>
        <v>106.45881161638901</v>
      </c>
      <c r="I24" s="262">
        <f t="shared" si="6"/>
        <v>1.9955467758968388</v>
      </c>
      <c r="J24" s="263">
        <f>VLOOKUP($C24,Saisie!$C$4:$J$44,K$1,FALSE)/VLOOKUP($C$6,Saisie!$C$4:$J$44,K$1,FALSE)*100</f>
        <v>88.844398487415717</v>
      </c>
      <c r="K24" s="249">
        <f t="shared" si="1"/>
        <v>8.8844398487415717</v>
      </c>
      <c r="L24" s="248">
        <f>VLOOKUP($C24,Saisie!$C$4:$J$44,M$1,FALSE)/VLOOKUP($C$6,Saisie!$C$4:$J$44,M$1,FALSE)*100</f>
        <v>85.78412778470063</v>
      </c>
      <c r="M24" s="249">
        <f t="shared" si="2"/>
        <v>8.5784127784700619</v>
      </c>
      <c r="N24" s="248">
        <f>VLOOKUP($C24,Saisie!$C$4:$J$44,O$1,FALSE)/VLOOKUP($C$6,Saisie!$C$4:$J$44,O$1,FALSE)*100</f>
        <v>85.729080591937262</v>
      </c>
      <c r="O24" s="250">
        <f t="shared" si="3"/>
        <v>8.5729080591937254</v>
      </c>
      <c r="P24"/>
      <c r="Q24" s="239"/>
    </row>
    <row r="25" spans="1:18" x14ac:dyDescent="0.2">
      <c r="A25"/>
      <c r="B25"/>
      <c r="C25" s="247">
        <f t="shared" si="7"/>
        <v>45748</v>
      </c>
      <c r="D25" s="248">
        <f>VLOOKUP($C25,Saisie!$C$4:$J$44,D$1,FALSE)/VLOOKUP($C$6,Saisie!$C$4:$J$44,D$1,FALSE)*100</f>
        <v>84.601746107918657</v>
      </c>
      <c r="E25" s="249">
        <f t="shared" si="0"/>
        <v>8.4601746107918654</v>
      </c>
      <c r="F25" s="248">
        <f>VLOOKUP($C25,Saisie!$C$4:$J$44,F$1,FALSE)/VLOOKUP($C$6,Saisie!$C$4:$J$44,F$1,FALSE)*100</f>
        <v>74.666506188536331</v>
      </c>
      <c r="G25" s="249">
        <f t="shared" si="5"/>
        <v>7.4666506188536337</v>
      </c>
      <c r="H25" s="248">
        <f>VLOOKUP($C25,Saisie!$C$4:$J$44,H$1,FALSE)/VLOOKUP($C$6,Saisie!$C$4:$J$44,H$1,FALSE)*100</f>
        <v>109.47517953872155</v>
      </c>
      <c r="I25" s="262">
        <f>$I$6*H25/$H$6</f>
        <v>2.05208792257072</v>
      </c>
      <c r="J25" s="263">
        <f>VLOOKUP($C25,Saisie!$C$4:$J$44,K$1,FALSE)/VLOOKUP($C$6,Saisie!$C$4:$J$44,K$1,FALSE)*100</f>
        <v>89.047883125180434</v>
      </c>
      <c r="K25" s="249">
        <f t="shared" si="1"/>
        <v>8.9047883125180434</v>
      </c>
      <c r="L25" s="248">
        <f>VLOOKUP($C25,Saisie!$C$4:$J$44,M$1,FALSE)/VLOOKUP($C$6,Saisie!$C$4:$J$44,M$1,FALSE)*100</f>
        <v>86.227866775612597</v>
      </c>
      <c r="M25" s="249">
        <f t="shared" si="2"/>
        <v>8.62278667756126</v>
      </c>
      <c r="N25" s="248">
        <f>VLOOKUP($C25,Saisie!$C$4:$J$44,O$1,FALSE)/VLOOKUP($C$6,Saisie!$C$4:$J$44,O$1,FALSE)*100</f>
        <v>86.107262082593266</v>
      </c>
      <c r="O25" s="250">
        <f t="shared" si="3"/>
        <v>8.6107262082593259</v>
      </c>
      <c r="P25"/>
      <c r="Q25" s="239"/>
    </row>
    <row r="26" spans="1:18" x14ac:dyDescent="0.2">
      <c r="A26"/>
      <c r="B26"/>
      <c r="C26" s="247">
        <f t="shared" si="7"/>
        <v>45778</v>
      </c>
      <c r="D26" s="248">
        <f>VLOOKUP($C26,Saisie!$C$4:$J$44,D$1,FALSE)/VLOOKUP($C$6,Saisie!$C$4:$J$44,D$1,FALSE)*100</f>
        <v>87.595880321435132</v>
      </c>
      <c r="E26" s="249">
        <f t="shared" si="0"/>
        <v>8.7595880321435136</v>
      </c>
      <c r="F26" s="248">
        <f>VLOOKUP($C26,Saisie!$C$4:$J$44,F$1,FALSE)/VLOOKUP($C$6,Saisie!$C$4:$J$44,F$1,FALSE)*100</f>
        <v>76.375928282048619</v>
      </c>
      <c r="G26" s="249">
        <f t="shared" si="5"/>
        <v>7.6375928282048617</v>
      </c>
      <c r="H26" s="248">
        <f>VLOOKUP($C26,Saisie!$C$4:$J$44,H$1,FALSE)/VLOOKUP($C$6,Saisie!$C$4:$J$44,H$1,FALSE)*100</f>
        <v>118.66334064678716</v>
      </c>
      <c r="I26" s="262">
        <f t="shared" si="6"/>
        <v>2.2243179615616717</v>
      </c>
      <c r="J26" s="263">
        <f>VLOOKUP($C26,Saisie!$C$4:$J$44,K$1,FALSE)/VLOOKUP($C$6,Saisie!$C$4:$J$44,K$1,FALSE)*100</f>
        <v>90.978907914424894</v>
      </c>
      <c r="K26" s="249">
        <f t="shared" si="1"/>
        <v>9.0978907914424898</v>
      </c>
      <c r="L26" s="248">
        <f>VLOOKUP($C26,Saisie!$C$4:$J$44,M$1,FALSE)/VLOOKUP($C$6,Saisie!$C$4:$J$44,M$1,FALSE)*100</f>
        <v>87.762304169387377</v>
      </c>
      <c r="M26" s="249">
        <f t="shared" si="2"/>
        <v>8.7762304169387377</v>
      </c>
      <c r="N26" s="248">
        <f>VLOOKUP($C26,Saisie!$C$4:$J$44,O$1,FALSE)/VLOOKUP($C$6,Saisie!$C$4:$J$44,O$1,FALSE)*100</f>
        <v>87.985534275131229</v>
      </c>
      <c r="O26" s="250">
        <f t="shared" si="3"/>
        <v>8.7985534275131219</v>
      </c>
      <c r="P26"/>
      <c r="Q26" s="239"/>
    </row>
    <row r="27" spans="1:18" x14ac:dyDescent="0.2">
      <c r="A27"/>
      <c r="B27"/>
      <c r="C27" s="247">
        <f t="shared" si="7"/>
        <v>45809</v>
      </c>
      <c r="D27" s="248">
        <f>VLOOKUP($C27,Saisie!$C$4:$J$44,D$1,FALSE)/VLOOKUP($C$6,Saisie!$C$4:$J$44,D$1,FALSE)*100</f>
        <v>84.822593036120836</v>
      </c>
      <c r="E27" s="249">
        <f t="shared" si="0"/>
        <v>8.4822593036120839</v>
      </c>
      <c r="F27" s="248">
        <f>VLOOKUP($C27,Saisie!$C$4:$J$44,F$1,FALSE)/VLOOKUP($C$6,Saisie!$C$4:$J$44,F$1,FALSE)*100</f>
        <v>75.673303966005676</v>
      </c>
      <c r="G27" s="249">
        <f t="shared" si="5"/>
        <v>7.5673303966005676</v>
      </c>
      <c r="H27" s="248">
        <f>VLOOKUP($C27,Saisie!$C$4:$J$44,H$1,FALSE)/VLOOKUP($C$6,Saisie!$C$4:$J$44,H$1,FALSE)*100</f>
        <v>123.94400493498318</v>
      </c>
      <c r="I27" s="262">
        <f t="shared" si="6"/>
        <v>2.3233028406421825</v>
      </c>
      <c r="J27" s="263">
        <f>VLOOKUP($C27,Saisie!$C$4:$J$44,K$1,FALSE)/VLOOKUP($C$6,Saisie!$C$4:$J$44,K$1,FALSE)*100</f>
        <v>89.24468554983288</v>
      </c>
      <c r="K27" s="249">
        <f t="shared" si="1"/>
        <v>8.9244685549832869</v>
      </c>
      <c r="L27" s="248">
        <f>VLOOKUP($C27,Saisie!$C$4:$J$44,M$1,FALSE)/VLOOKUP($C$6,Saisie!$C$4:$J$44,M$1,FALSE)*100</f>
        <v>86.65414170290066</v>
      </c>
      <c r="M27" s="249">
        <f t="shared" si="2"/>
        <v>8.6654141702900667</v>
      </c>
      <c r="N27" s="248">
        <f>VLOOKUP($C27,Saisie!$C$4:$J$44,O$1,FALSE)/VLOOKUP($C$6,Saisie!$C$4:$J$44,O$1,FALSE)*100</f>
        <v>86.471176121169151</v>
      </c>
      <c r="O27" s="250">
        <f t="shared" si="3"/>
        <v>8.6471176121169151</v>
      </c>
      <c r="P27"/>
      <c r="Q27" s="239"/>
    </row>
    <row r="28" spans="1:18" x14ac:dyDescent="0.2">
      <c r="A28"/>
      <c r="B28"/>
      <c r="C28" s="247">
        <f t="shared" si="7"/>
        <v>45839</v>
      </c>
      <c r="D28" s="248">
        <f>VLOOKUP($C28,Saisie!$C$4:$J$44,D$1,FALSE)/VLOOKUP($C$6,Saisie!$C$4:$J$44,D$1,FALSE)*100</f>
        <v>92.632036632887733</v>
      </c>
      <c r="E28" s="249">
        <f t="shared" ref="E28:E33" si="8">$E$6*D28/$D$6</f>
        <v>9.2632036632887722</v>
      </c>
      <c r="F28" s="248">
        <f>VLOOKUP($C28,Saisie!$C$4:$J$44,F$1,FALSE)/VLOOKUP($C$6,Saisie!$C$4:$J$44,F$1,FALSE)*100</f>
        <v>77.372124832119084</v>
      </c>
      <c r="G28" s="249">
        <f t="shared" ref="G28:G33" si="9">$G$6*F28/$F$6</f>
        <v>7.7372124832119082</v>
      </c>
      <c r="H28" s="248">
        <f>VLOOKUP($C28,Saisie!$C$4:$J$44,H$1,FALSE)/VLOOKUP($C$6,Saisie!$C$4:$J$44,H$1,FALSE)*100</f>
        <v>135.43492791287412</v>
      </c>
      <c r="I28" s="262">
        <f t="shared" ref="I28:I33" si="10">$I$6*H28/$H$6</f>
        <v>2.5386976393671294</v>
      </c>
      <c r="J28" s="263">
        <f>VLOOKUP($C28,Saisie!$C$4:$J$44,K$1,FALSE)/VLOOKUP($C$6,Saisie!$C$4:$J$44,K$1,FALSE)*100</f>
        <v>94.110902969910711</v>
      </c>
      <c r="K28" s="249">
        <f t="shared" ref="K28:K33" si="11">$K$6*J28/$J$6</f>
        <v>9.4110902969910715</v>
      </c>
      <c r="L28" s="248">
        <f>VLOOKUP($C28,Saisie!$C$4:$J$44,M$1,FALSE)/VLOOKUP($C$6,Saisie!$C$4:$J$44,M$1,FALSE)*100</f>
        <v>89.675227247608262</v>
      </c>
      <c r="M28" s="249">
        <f t="shared" ref="M28:M33" si="12">$M$6*L28/$L$6</f>
        <v>8.9675227247608262</v>
      </c>
      <c r="N28" s="248">
        <f>VLOOKUP($C28,Saisie!$C$4:$J$44,O$1,FALSE)/VLOOKUP($C$6,Saisie!$C$4:$J$44,O$1,FALSE)*100</f>
        <v>90.663951870964823</v>
      </c>
      <c r="O28" s="250">
        <f t="shared" ref="O28:O33" si="13">$O$6*N28/$N$6</f>
        <v>9.0663951870964823</v>
      </c>
      <c r="P28"/>
      <c r="Q28" s="239"/>
    </row>
    <row r="29" spans="1:18" x14ac:dyDescent="0.2">
      <c r="A29"/>
      <c r="B29"/>
      <c r="C29" s="247">
        <f t="shared" si="7"/>
        <v>45870</v>
      </c>
      <c r="D29" s="248">
        <f>VLOOKUP($C29,Saisie!$C$4:$J$44,D$1,FALSE)/VLOOKUP($C$6,Saisie!$C$4:$J$44,D$1,FALSE)*100</f>
        <v>93.818834554239885</v>
      </c>
      <c r="E29" s="249">
        <f t="shared" si="8"/>
        <v>9.3818834554239885</v>
      </c>
      <c r="F29" s="248">
        <f>VLOOKUP($C29,Saisie!$C$4:$J$44,F$1,FALSE)/VLOOKUP($C$6,Saisie!$C$4:$J$44,F$1,FALSE)*100</f>
        <v>77.983012323979978</v>
      </c>
      <c r="G29" s="249">
        <f t="shared" si="9"/>
        <v>7.7983012323979981</v>
      </c>
      <c r="H29" s="248">
        <f>VLOOKUP($C29,Saisie!$C$4:$J$44,H$1,FALSE)/VLOOKUP($C$6,Saisie!$C$4:$J$44,H$1,FALSE)*100</f>
        <v>127.96033815236576</v>
      </c>
      <c r="I29" s="262">
        <f t="shared" si="10"/>
        <v>2.3985881146480152</v>
      </c>
      <c r="J29" s="263">
        <f>VLOOKUP($C29,Saisie!$C$4:$J$44,K$1,FALSE)/VLOOKUP($C$6,Saisie!$C$4:$J$44,K$1,FALSE)*100</f>
        <v>94.872194935083996</v>
      </c>
      <c r="K29" s="249">
        <f t="shared" si="11"/>
        <v>9.4872194935084</v>
      </c>
      <c r="L29" s="248">
        <f>VLOOKUP($C29,Saisie!$C$4:$J$44,M$1,FALSE)/VLOOKUP($C$6,Saisie!$C$4:$J$44,M$1,FALSE)*100</f>
        <v>90.259732663307432</v>
      </c>
      <c r="M29" s="249">
        <f t="shared" si="12"/>
        <v>9.0259732663307428</v>
      </c>
      <c r="N29" s="248">
        <f>VLOOKUP($C29,Saisie!$C$4:$J$44,O$1,FALSE)/VLOOKUP($C$6,Saisie!$C$4:$J$44,O$1,FALSE)*100</f>
        <v>91.391386500168309</v>
      </c>
      <c r="O29" s="250">
        <f t="shared" si="13"/>
        <v>9.1391386500168306</v>
      </c>
      <c r="P29"/>
      <c r="Q29" s="239"/>
    </row>
    <row r="30" spans="1:18" x14ac:dyDescent="0.2">
      <c r="A30"/>
      <c r="B30"/>
      <c r="C30" s="247">
        <f t="shared" si="7"/>
        <v>45901</v>
      </c>
      <c r="D30" s="248">
        <f>VLOOKUP($C30,Saisie!$C$4:$J$44,D$1,FALSE)/VLOOKUP($C$6,Saisie!$C$4:$J$44,D$1,FALSE)*100</f>
        <v>91.801478259577436</v>
      </c>
      <c r="E30" s="249">
        <f t="shared" si="8"/>
        <v>9.1801478259577429</v>
      </c>
      <c r="F30" s="248">
        <f>VLOOKUP($C30,Saisie!$C$4:$J$44,F$1,FALSE)/VLOOKUP($C$6,Saisie!$C$4:$J$44,F$1,FALSE)*100</f>
        <v>79.316117496257618</v>
      </c>
      <c r="G30" s="249">
        <f t="shared" si="9"/>
        <v>7.9316117496257617</v>
      </c>
      <c r="H30" s="248">
        <f>VLOOKUP($C30,Saisie!$C$4:$J$44,H$1,FALSE)/VLOOKUP($C$6,Saisie!$C$4:$J$44,H$1,FALSE)*100</f>
        <v>114.46825570183863</v>
      </c>
      <c r="I30" s="262">
        <f>$I$6*H30/$H$6</f>
        <v>2.1456820261289993</v>
      </c>
      <c r="J30" s="263">
        <f>VLOOKUP($C30,Saisie!$C$4:$J$44,K$1,FALSE)/VLOOKUP($C$6,Saisie!$C$4:$J$44,K$1,FALSE)*100</f>
        <v>93.724531159401664</v>
      </c>
      <c r="K30" s="249">
        <f t="shared" si="11"/>
        <v>9.3724531159401661</v>
      </c>
      <c r="L30" s="248">
        <f>VLOOKUP($C30,Saisie!$C$4:$J$44,M$1,FALSE)/VLOOKUP($C$6,Saisie!$C$4:$J$44,M$1,FALSE)*100</f>
        <v>90.109250247817968</v>
      </c>
      <c r="M30" s="249">
        <f t="shared" si="12"/>
        <v>9.0109250247817965</v>
      </c>
      <c r="N30" s="248">
        <f>VLOOKUP($C30,Saisie!$C$4:$J$44,O$1,FALSE)/VLOOKUP($C$6,Saisie!$C$4:$J$44,O$1,FALSE)*100</f>
        <v>90.761737222544596</v>
      </c>
      <c r="O30" s="250">
        <f t="shared" si="13"/>
        <v>9.0761737222544596</v>
      </c>
      <c r="P30"/>
      <c r="Q30" s="239"/>
    </row>
    <row r="31" spans="1:18" x14ac:dyDescent="0.2">
      <c r="A31"/>
      <c r="B31"/>
      <c r="C31" s="247">
        <f t="shared" si="7"/>
        <v>45931</v>
      </c>
      <c r="D31" s="248">
        <f>VLOOKUP($C31,Saisie!$C$4:$J$44,D$1,FALSE)/VLOOKUP($C$6,Saisie!$C$4:$J$44,D$1,FALSE)*100</f>
        <v>88.821972037553465</v>
      </c>
      <c r="E31" s="249">
        <f t="shared" si="8"/>
        <v>8.8821972037553465</v>
      </c>
      <c r="F31" s="248">
        <f>VLOOKUP($C31,Saisie!$C$4:$J$44,F$1,FALSE)/VLOOKUP($C$6,Saisie!$C$4:$J$44,F$1,FALSE)*100</f>
        <v>77.361409456672334</v>
      </c>
      <c r="G31" s="249">
        <f t="shared" si="9"/>
        <v>7.7361409456672332</v>
      </c>
      <c r="H31" s="248">
        <f>VLOOKUP($C31,Saisie!$C$4:$J$44,H$1,FALSE)/VLOOKUP($C$6,Saisie!$C$4:$J$44,H$1,FALSE)*100</f>
        <v>116.02746733042679</v>
      </c>
      <c r="I31" s="262">
        <f>$I$6*H31/$H$6</f>
        <v>2.1749091017569122</v>
      </c>
      <c r="J31" s="263">
        <f>VLOOKUP($C31,Saisie!$C$4:$J$44,K$1,FALSE)/VLOOKUP($C$6,Saisie!$C$4:$J$44,K$1,FALSE)*100</f>
        <v>91.787282295657121</v>
      </c>
      <c r="K31" s="249">
        <f t="shared" si="11"/>
        <v>9.1787282295657118</v>
      </c>
      <c r="L31" s="248">
        <f>VLOOKUP($C31,Saisie!$C$4:$J$44,M$1,FALSE)/VLOOKUP($C$6,Saisie!$C$4:$J$44,M$1,FALSE)*100</f>
        <v>88.49214067263668</v>
      </c>
      <c r="M31" s="249">
        <f t="shared" si="12"/>
        <v>8.8492140672636665</v>
      </c>
      <c r="N31" s="248">
        <f>VLOOKUP($C31,Saisie!$C$4:$J$44,O$1,FALSE)/VLOOKUP($C$6,Saisie!$C$4:$J$44,O$1,FALSE)*100</f>
        <v>88.82773590057954</v>
      </c>
      <c r="O31" s="250">
        <f t="shared" si="13"/>
        <v>8.8827735900579547</v>
      </c>
      <c r="P31"/>
      <c r="Q31" s="239"/>
    </row>
    <row r="32" spans="1:18" x14ac:dyDescent="0.2">
      <c r="A32"/>
      <c r="B32"/>
      <c r="C32" s="247">
        <f t="shared" si="7"/>
        <v>45962</v>
      </c>
      <c r="D32" s="248">
        <f>VLOOKUP($C32,Saisie!$C$4:$J$44,D$1,FALSE)/VLOOKUP($C$6,Saisie!$C$4:$J$44,D$1,FALSE)*100</f>
        <v>85.350563532339265</v>
      </c>
      <c r="E32" s="249">
        <f t="shared" si="8"/>
        <v>8.5350563532339265</v>
      </c>
      <c r="F32" s="248">
        <f>VLOOKUP($C32,Saisie!$C$4:$J$44,F$1,FALSE)/VLOOKUP($C$6,Saisie!$C$4:$J$44,F$1,FALSE)*100</f>
        <v>76.14662374118474</v>
      </c>
      <c r="G32" s="249">
        <f t="shared" si="9"/>
        <v>7.614662374118474</v>
      </c>
      <c r="H32" s="248">
        <f>VLOOKUP($C32,Saisie!$C$4:$J$44,H$1,FALSE)/VLOOKUP($C$6,Saisie!$C$4:$J$44,H$1,FALSE)*100</f>
        <v>106.66272326177331</v>
      </c>
      <c r="I32" s="262">
        <f t="shared" si="10"/>
        <v>1.9993690543943736</v>
      </c>
      <c r="J32" s="263">
        <f>VLOOKUP($C32,Saisie!$C$4:$J$44,K$1,FALSE)/VLOOKUP($C$6,Saisie!$C$4:$J$44,K$1,FALSE)*100</f>
        <v>89.595804188250426</v>
      </c>
      <c r="K32" s="249">
        <f t="shared" si="11"/>
        <v>8.959580418825043</v>
      </c>
      <c r="L32" s="248">
        <f>VLOOKUP($C32,Saisie!$C$4:$J$44,M$1,FALSE)/VLOOKUP($C$6,Saisie!$C$4:$J$44,M$1,FALSE)*100</f>
        <v>86.985823591702598</v>
      </c>
      <c r="M32" s="249">
        <f t="shared" si="12"/>
        <v>8.6985823591702598</v>
      </c>
      <c r="N32" s="248">
        <f>VLOOKUP($C32,Saisie!$C$4:$J$44,O$1,FALSE)/VLOOKUP($C$6,Saisie!$C$4:$J$44,O$1,FALSE)*100</f>
        <v>86.846367324654565</v>
      </c>
      <c r="O32" s="250">
        <f t="shared" si="13"/>
        <v>8.6846367324654565</v>
      </c>
      <c r="P32"/>
      <c r="Q32" s="239"/>
    </row>
    <row r="33" spans="1:19" ht="13.5" thickBot="1" x14ac:dyDescent="0.25">
      <c r="A33"/>
      <c r="B33"/>
      <c r="C33" s="251">
        <f t="shared" si="7"/>
        <v>45992</v>
      </c>
      <c r="D33" s="252">
        <f>VLOOKUP($C33,Saisie!$C$4:$J$44,D$1,FALSE)/VLOOKUP($C$6,Saisie!$C$4:$J$44,D$1,FALSE)*100</f>
        <v>88.101231826538779</v>
      </c>
      <c r="E33" s="253">
        <f t="shared" si="8"/>
        <v>8.8101231826538768</v>
      </c>
      <c r="F33" s="252">
        <f>VLOOKUP($C33,Saisie!$C$4:$J$44,F$1,FALSE)/VLOOKUP($C$6,Saisie!$C$4:$J$44,F$1,FALSE)*100</f>
        <v>77.607332292820885</v>
      </c>
      <c r="G33" s="253">
        <f t="shared" si="9"/>
        <v>7.7607332292820885</v>
      </c>
      <c r="H33" s="252">
        <f>VLOOKUP($C33,Saisie!$C$4:$J$44,H$1,FALSE)/VLOOKUP($C$6,Saisie!$C$4:$J$44,H$1,FALSE)*100</f>
        <v>101.09597933313145</v>
      </c>
      <c r="I33" s="264">
        <f t="shared" si="10"/>
        <v>1.8950216760009968</v>
      </c>
      <c r="J33" s="265">
        <f>VLOOKUP($C33,Saisie!$C$4:$J$44,K$1,FALSE)/VLOOKUP($C$6,Saisie!$C$4:$J$44,K$1,FALSE)*100</f>
        <v>91.363035965660018</v>
      </c>
      <c r="K33" s="253">
        <f t="shared" si="11"/>
        <v>9.1363035965660018</v>
      </c>
      <c r="L33" s="252">
        <f>VLOOKUP($C33,Saisie!$C$4:$J$44,M$1,FALSE)/VLOOKUP($C$6,Saisie!$C$4:$J$44,M$1,FALSE)*100</f>
        <v>88.356486003477727</v>
      </c>
      <c r="M33" s="253">
        <f t="shared" si="12"/>
        <v>8.8356486003477723</v>
      </c>
      <c r="N33" s="252">
        <f>VLOOKUP($C33,Saisie!$C$4:$J$44,O$1,FALSE)/VLOOKUP($C$6,Saisie!$C$4:$J$44,O$1,FALSE)*100</f>
        <v>88.543833681710922</v>
      </c>
      <c r="O33" s="254">
        <f t="shared" si="13"/>
        <v>8.8543833681710922</v>
      </c>
      <c r="P33"/>
      <c r="Q33" s="239"/>
    </row>
    <row r="34" spans="1:19" ht="13.5" thickBot="1" x14ac:dyDescent="0.25">
      <c r="A34"/>
      <c r="B34"/>
      <c r="C34" s="266" t="s">
        <v>112</v>
      </c>
      <c r="D34" s="1"/>
      <c r="E34" s="267"/>
      <c r="F34" s="1"/>
      <c r="G34" s="267"/>
      <c r="H34" s="1"/>
      <c r="I34" s="268"/>
      <c r="J34" s="1"/>
      <c r="K34" s="267"/>
      <c r="L34" s="1"/>
      <c r="M34" s="267"/>
      <c r="N34" s="1"/>
      <c r="O34" s="267"/>
      <c r="P34"/>
      <c r="Q34" s="239"/>
    </row>
    <row r="35" spans="1:19" ht="27" customHeight="1" thickBot="1" x14ac:dyDescent="0.25">
      <c r="A35"/>
      <c r="B35"/>
      <c r="C35" s="138" t="s">
        <v>78</v>
      </c>
      <c r="D35" s="245"/>
      <c r="E35" s="222" t="s">
        <v>6</v>
      </c>
      <c r="F35" s="246"/>
      <c r="G35" s="222" t="s">
        <v>6</v>
      </c>
      <c r="H35" s="246"/>
      <c r="I35" s="342" t="s">
        <v>118</v>
      </c>
      <c r="J35" s="246"/>
      <c r="K35" s="222" t="s">
        <v>6</v>
      </c>
      <c r="L35" s="246"/>
      <c r="M35" s="222" t="s">
        <v>6</v>
      </c>
      <c r="N35" s="246"/>
      <c r="O35" s="223" t="s">
        <v>6</v>
      </c>
      <c r="P35"/>
      <c r="Q35" s="239"/>
    </row>
    <row r="36" spans="1:19" s="156" customFormat="1" ht="15" customHeight="1" thickTop="1" x14ac:dyDescent="0.2">
      <c r="A36" s="22"/>
      <c r="B36" s="22"/>
      <c r="C36" s="269" t="str">
        <f>"T1- "&amp;YEAR(C11)</f>
        <v>T1- 2024</v>
      </c>
      <c r="D36" s="270">
        <f>AVERAGE(D9:D11)</f>
        <v>79.239648956702226</v>
      </c>
      <c r="E36" s="271">
        <f>$E$6*D36/$D$6</f>
        <v>7.9239648956702231</v>
      </c>
      <c r="F36" s="270">
        <f>AVERAGE(F9:F11)</f>
        <v>86.242322913324202</v>
      </c>
      <c r="G36" s="271">
        <f>$G$6*F36/$F$6</f>
        <v>8.6242322913324205</v>
      </c>
      <c r="H36" s="270">
        <f>AVERAGE(H9:H11)</f>
        <v>98.53876021812431</v>
      </c>
      <c r="I36" s="363">
        <v>1.8415170270534347</v>
      </c>
      <c r="J36" s="270">
        <f>AVERAGE(J9:J11)</f>
        <v>86.493292732301072</v>
      </c>
      <c r="K36" s="271">
        <f>$K$6*J36/$J$6</f>
        <v>8.6493292732301068</v>
      </c>
      <c r="L36" s="270">
        <f>AVERAGE(L9:L11)</f>
        <v>88.683442687505774</v>
      </c>
      <c r="M36" s="271">
        <f>$M$6*L36/$L$6</f>
        <v>8.8683442687505778</v>
      </c>
      <c r="N36" s="270">
        <f>AVERAGE(N9:N11)</f>
        <v>86.489159401790047</v>
      </c>
      <c r="O36" s="272">
        <f>$O$6*N36/$N$6</f>
        <v>8.6489159401790054</v>
      </c>
      <c r="P36" s="22"/>
      <c r="Q36" s="273"/>
    </row>
    <row r="37" spans="1:19" s="156" customFormat="1" ht="15" customHeight="1" x14ac:dyDescent="0.2">
      <c r="A37" s="22"/>
      <c r="B37" s="22"/>
      <c r="C37" s="274" t="str">
        <f>"T2- "&amp;YEAR(C14)</f>
        <v>T2- 2024</v>
      </c>
      <c r="D37" s="275">
        <f>AVERAGE(D12:D14)</f>
        <v>78.147190561159462</v>
      </c>
      <c r="E37" s="276">
        <f>$E$6*D37/$D$6</f>
        <v>7.8147190561159459</v>
      </c>
      <c r="F37" s="275">
        <f>AVERAGE(F12:F14)</f>
        <v>84.798946177359696</v>
      </c>
      <c r="G37" s="276">
        <f>$G$6*F37/$F$6</f>
        <v>8.4798946177359706</v>
      </c>
      <c r="H37" s="275">
        <f>AVERAGE(H12:H14)</f>
        <v>111.08915249676291</v>
      </c>
      <c r="I37" s="362">
        <v>2.0797218620704498</v>
      </c>
      <c r="J37" s="275">
        <f>AVERAGE(J12:J14)</f>
        <v>85.738125303839752</v>
      </c>
      <c r="K37" s="276">
        <f>$K$6*J37/$J$6</f>
        <v>8.5738125303839752</v>
      </c>
      <c r="L37" s="275">
        <f>AVERAGE(L12:L14)</f>
        <v>87.832184831996244</v>
      </c>
      <c r="M37" s="276">
        <f>$M$6*L37/$L$6</f>
        <v>8.7832184831996241</v>
      </c>
      <c r="N37" s="275">
        <f>AVERAGE(N12:N14)</f>
        <v>85.594089668260423</v>
      </c>
      <c r="O37" s="277">
        <f>$O$6*N37/$N$6</f>
        <v>8.5594089668260427</v>
      </c>
      <c r="P37" s="22"/>
      <c r="Q37" s="273"/>
    </row>
    <row r="38" spans="1:19" s="156" customFormat="1" ht="15" customHeight="1" x14ac:dyDescent="0.2">
      <c r="A38" s="22"/>
      <c r="B38" s="22"/>
      <c r="C38" s="274" t="str">
        <f>"T3- "&amp;YEAR(C17)</f>
        <v>T3- 2024</v>
      </c>
      <c r="D38" s="275">
        <f>AVERAGE(D15:D17)</f>
        <v>74.466819610842052</v>
      </c>
      <c r="E38" s="276">
        <f>$E$6*D38/$D$6</f>
        <v>7.446681961084205</v>
      </c>
      <c r="F38" s="275">
        <f>AVERAGE(F15:F17)</f>
        <v>89.002977949661954</v>
      </c>
      <c r="G38" s="276">
        <f>$G$6*F38/$F$6</f>
        <v>8.9002977949661961</v>
      </c>
      <c r="H38" s="275">
        <f>AVERAGE(H15:H17)</f>
        <v>110.88253489932845</v>
      </c>
      <c r="I38" s="361">
        <v>2.0763791592389382</v>
      </c>
      <c r="J38" s="275">
        <f>AVERAGE(J15:J17)</f>
        <v>83.753773105480036</v>
      </c>
      <c r="K38" s="276">
        <f>$K$6*J38/$J$6</f>
        <v>8.3753773105480036</v>
      </c>
      <c r="L38" s="275">
        <f>AVERAGE(L15:L17)</f>
        <v>88.187593993353786</v>
      </c>
      <c r="M38" s="276">
        <f>$M$6*L38/$L$6</f>
        <v>8.818759399335379</v>
      </c>
      <c r="N38" s="275">
        <f>AVERAGE(N15:N17)</f>
        <v>84.898833628359611</v>
      </c>
      <c r="O38" s="277">
        <f>$O$6*N38/$N$6</f>
        <v>8.4898833628359611</v>
      </c>
      <c r="P38" s="22"/>
      <c r="Q38" s="273"/>
    </row>
    <row r="39" spans="1:19" s="156" customFormat="1" ht="15" customHeight="1" thickBot="1" x14ac:dyDescent="0.25">
      <c r="A39" s="22"/>
      <c r="B39" s="22"/>
      <c r="C39" s="278" t="str">
        <f>"T4- "&amp;YEAR(C20)</f>
        <v>T4- 2024</v>
      </c>
      <c r="D39" s="279">
        <f>AVERAGE(D18:D20)</f>
        <v>79.267346016182572</v>
      </c>
      <c r="E39" s="280">
        <f>$E$6*D39/$D$6</f>
        <v>7.9267346016182572</v>
      </c>
      <c r="F39" s="279">
        <f>AVERAGE(F18:F20)</f>
        <v>76.183033369217966</v>
      </c>
      <c r="G39" s="280">
        <f>$G$6*F39/$F$6</f>
        <v>7.6183033369217972</v>
      </c>
      <c r="H39" s="279">
        <f>AVERAGE(H18:H20)</f>
        <v>108.22614393304315</v>
      </c>
      <c r="I39" s="288">
        <f>$I$6*H39/$H$6</f>
        <v>2.0286750275923939</v>
      </c>
      <c r="J39" s="279">
        <f>AVERAGE(J18:J20)</f>
        <v>85.889173624335228</v>
      </c>
      <c r="K39" s="280">
        <f>$K$6*J39/$J$6</f>
        <v>8.5889173624335236</v>
      </c>
      <c r="L39" s="279">
        <f>AVERAGE(L18:L20)</f>
        <v>85.115912114451746</v>
      </c>
      <c r="M39" s="280">
        <f>$M$6*L39/$L$6</f>
        <v>8.5115912114451753</v>
      </c>
      <c r="N39" s="279">
        <f>AVERAGE(N18:N20)</f>
        <v>83.928327141481915</v>
      </c>
      <c r="O39" s="281">
        <f>$O$6*N39/$N$6</f>
        <v>8.3928327141481915</v>
      </c>
      <c r="P39" s="22"/>
      <c r="Q39" s="273"/>
    </row>
    <row r="40" spans="1:19" ht="9.75" customHeight="1" thickBot="1" x14ac:dyDescent="0.25">
      <c r="A40"/>
      <c r="B40"/>
      <c r="C40" s="255"/>
      <c r="D40" s="255"/>
      <c r="E40" s="255"/>
      <c r="F40" s="255"/>
      <c r="G40" s="255"/>
      <c r="H40" s="255"/>
      <c r="I40" s="255"/>
      <c r="J40" s="255"/>
      <c r="K40" s="255"/>
      <c r="L40" s="255"/>
      <c r="M40" s="255"/>
      <c r="N40" s="255"/>
      <c r="O40" s="255"/>
      <c r="P40"/>
      <c r="Q40" s="239"/>
    </row>
    <row r="41" spans="1:19" s="156" customFormat="1" ht="15" customHeight="1" x14ac:dyDescent="0.2">
      <c r="A41" s="22"/>
      <c r="B41" s="22"/>
      <c r="C41" s="282" t="str">
        <f>"T1- "&amp;YEAR(C24)</f>
        <v>T1- 2025</v>
      </c>
      <c r="D41" s="283">
        <f>AVERAGE(D22:D24)</f>
        <v>83.312384665440973</v>
      </c>
      <c r="E41" s="284">
        <f>$E$6*D41/$D$6</f>
        <v>8.3312384665440966</v>
      </c>
      <c r="F41" s="283">
        <f>AVERAGE(F22:F24)</f>
        <v>73.032547359539549</v>
      </c>
      <c r="G41" s="284">
        <f>$G$6*F41/$F$6</f>
        <v>7.3032547359539546</v>
      </c>
      <c r="H41" s="283">
        <f>AVERAGE(H22:H24)</f>
        <v>104.12423992489488</v>
      </c>
      <c r="I41" s="285">
        <f>$I$6*H41/$H$6</f>
        <v>1.9517857481216239</v>
      </c>
      <c r="J41" s="283">
        <f>AVERAGE(J22:J24)</f>
        <v>88.160900332286516</v>
      </c>
      <c r="K41" s="284">
        <f>$K$6*J41/$J$6</f>
        <v>8.8160900332286527</v>
      </c>
      <c r="L41" s="283">
        <f>AVERAGE(L22:L24)</f>
        <v>85.247911787079275</v>
      </c>
      <c r="M41" s="284">
        <f>$M$6*L41/$L$6</f>
        <v>8.5247911787079271</v>
      </c>
      <c r="N41" s="283">
        <f>AVERAGE(N22:N24)</f>
        <v>85.068669204205079</v>
      </c>
      <c r="O41" s="286">
        <f>$O$6*N41/$N$6</f>
        <v>8.5068669204205083</v>
      </c>
      <c r="P41" s="22"/>
      <c r="Q41" s="273"/>
    </row>
    <row r="42" spans="1:19" s="156" customFormat="1" ht="15" customHeight="1" x14ac:dyDescent="0.2">
      <c r="A42" s="22"/>
      <c r="B42" s="22"/>
      <c r="C42" s="274" t="str">
        <f>"T2- "&amp;YEAR(C27)</f>
        <v>T2- 2025</v>
      </c>
      <c r="D42" s="275">
        <f>AVERAGE(D25:D27)</f>
        <v>85.673406488491537</v>
      </c>
      <c r="E42" s="276">
        <f>$E$6*D42/$D$6</f>
        <v>8.5673406488491537</v>
      </c>
      <c r="F42" s="275">
        <f>AVERAGE(F25:F27)</f>
        <v>75.571912812196885</v>
      </c>
      <c r="G42" s="276">
        <f>$G$6*F42/$F$6</f>
        <v>7.5571912812196889</v>
      </c>
      <c r="H42" s="275">
        <f>AVERAGE(H25:H27)</f>
        <v>117.36084170683063</v>
      </c>
      <c r="I42" s="287">
        <f>$I$6*H42/$H$6</f>
        <v>2.1999029082581911</v>
      </c>
      <c r="J42" s="275">
        <f>AVERAGE(J25:J27)</f>
        <v>89.75715886314606</v>
      </c>
      <c r="K42" s="276">
        <f>$K$6*J42/$J$6</f>
        <v>8.9757158863146067</v>
      </c>
      <c r="L42" s="275">
        <f>AVERAGE(L25:L27)</f>
        <v>86.881437549300202</v>
      </c>
      <c r="M42" s="276">
        <f>$M$6*L42/$L$6</f>
        <v>8.6881437549300191</v>
      </c>
      <c r="N42" s="275">
        <f>AVERAGE(N25:N27)</f>
        <v>86.854657492964563</v>
      </c>
      <c r="O42" s="277">
        <f>$O$6*N42/$N$6</f>
        <v>8.6854657492964567</v>
      </c>
      <c r="P42" s="22"/>
      <c r="Q42" s="273"/>
    </row>
    <row r="43" spans="1:19" s="156" customFormat="1" ht="15" customHeight="1" x14ac:dyDescent="0.2">
      <c r="A43" s="22"/>
      <c r="B43" s="22"/>
      <c r="C43" s="274" t="str">
        <f>"T3- "&amp;YEAR(C30)</f>
        <v>T3- 2025</v>
      </c>
      <c r="D43" s="275">
        <f>AVERAGE(D28:D30)</f>
        <v>92.750783148901689</v>
      </c>
      <c r="E43" s="276">
        <f>$E$6*D43/$D$6</f>
        <v>9.2750783148901697</v>
      </c>
      <c r="F43" s="275">
        <f>AVERAGE(F28:F30)</f>
        <v>78.223751550785565</v>
      </c>
      <c r="G43" s="276">
        <f>$G$6*F43/$F$6</f>
        <v>7.8223751550785563</v>
      </c>
      <c r="H43" s="275">
        <f>AVERAGE(H28:H30)</f>
        <v>125.95450725569283</v>
      </c>
      <c r="I43" s="287">
        <f>$I$6*H43/$H$6</f>
        <v>2.360989260048048</v>
      </c>
      <c r="J43" s="275">
        <f>AVERAGE(J28:J30)</f>
        <v>94.235876354798791</v>
      </c>
      <c r="K43" s="276">
        <f>$K$6*J43/$J$6</f>
        <v>9.4235876354798798</v>
      </c>
      <c r="L43" s="275">
        <f>AVERAGE(L28:L30)</f>
        <v>90.014736719577897</v>
      </c>
      <c r="M43" s="276">
        <f>$M$6*L43/$L$6</f>
        <v>9.0014736719577897</v>
      </c>
      <c r="N43" s="275">
        <f>AVERAGE(N28:N30)</f>
        <v>90.939025197892576</v>
      </c>
      <c r="O43" s="277">
        <f>$O$6*N43/$N$6</f>
        <v>9.0939025197892587</v>
      </c>
      <c r="P43" s="22"/>
      <c r="Q43" s="273"/>
    </row>
    <row r="44" spans="1:19" s="156" customFormat="1" ht="15" customHeight="1" thickBot="1" x14ac:dyDescent="0.25">
      <c r="A44" s="22"/>
      <c r="B44" s="22"/>
      <c r="C44" s="278" t="str">
        <f>"T4- "&amp;YEAR(C33)</f>
        <v>T4- 2025</v>
      </c>
      <c r="D44" s="279">
        <f>AVERAGE(D31:D33)</f>
        <v>87.424589132143822</v>
      </c>
      <c r="E44" s="280">
        <f>$E$6*D44/$D$6</f>
        <v>8.7424589132143815</v>
      </c>
      <c r="F44" s="279">
        <f>AVERAGE(F31:F33)</f>
        <v>77.03845516355932</v>
      </c>
      <c r="G44" s="280">
        <f>$G$6*F44/$F$6</f>
        <v>7.7038455163559316</v>
      </c>
      <c r="H44" s="279">
        <f>AVERAGE(H31:H33)</f>
        <v>107.92872330844386</v>
      </c>
      <c r="I44" s="288">
        <f>$I$6*H44/$H$6</f>
        <v>2.0230999440507613</v>
      </c>
      <c r="J44" s="279">
        <f>AVERAGE(J31:J33)</f>
        <v>90.91537414985585</v>
      </c>
      <c r="K44" s="280">
        <f>$K$6*J44/$J$6</f>
        <v>9.0915374149855843</v>
      </c>
      <c r="L44" s="279">
        <f>AVERAGE(L31:L33)</f>
        <v>87.944816755939016</v>
      </c>
      <c r="M44" s="280">
        <f>$M$6*L44/$L$6</f>
        <v>8.7944816755939019</v>
      </c>
      <c r="N44" s="279">
        <f>AVERAGE(N31:N33)</f>
        <v>88.072645635648328</v>
      </c>
      <c r="O44" s="281">
        <f>$O$6*N44/$N$6</f>
        <v>8.8072645635648321</v>
      </c>
      <c r="P44" s="22"/>
      <c r="Q44" s="273"/>
    </row>
    <row r="45" spans="1:19" ht="12" customHeight="1" thickBot="1" x14ac:dyDescent="0.25">
      <c r="A45"/>
      <c r="B45"/>
      <c r="C45"/>
      <c r="D45"/>
      <c r="E45"/>
      <c r="F45"/>
      <c r="G45"/>
      <c r="H45"/>
      <c r="I45"/>
      <c r="J45"/>
      <c r="K45"/>
      <c r="L45"/>
      <c r="M45"/>
      <c r="N45"/>
      <c r="O45"/>
      <c r="P45"/>
      <c r="Q45" s="239"/>
    </row>
    <row r="46" spans="1:19" ht="27" customHeight="1" thickBot="1" x14ac:dyDescent="0.25">
      <c r="A46"/>
      <c r="B46"/>
      <c r="C46" s="138" t="s">
        <v>77</v>
      </c>
      <c r="D46" s="245"/>
      <c r="E46" s="222" t="s">
        <v>6</v>
      </c>
      <c r="F46" s="246"/>
      <c r="G46" s="222" t="s">
        <v>6</v>
      </c>
      <c r="H46" s="246"/>
      <c r="I46" s="342" t="s">
        <v>118</v>
      </c>
      <c r="J46" s="246"/>
      <c r="K46" s="222" t="s">
        <v>6</v>
      </c>
      <c r="L46" s="246"/>
      <c r="M46" s="222" t="s">
        <v>6</v>
      </c>
      <c r="N46" s="246"/>
      <c r="O46" s="223" t="s">
        <v>6</v>
      </c>
      <c r="P46"/>
      <c r="Q46" s="239"/>
    </row>
    <row r="47" spans="1:19" s="295" customFormat="1" ht="17.100000000000001" customHeight="1" thickTop="1" x14ac:dyDescent="0.25">
      <c r="A47" s="289"/>
      <c r="B47" s="289"/>
      <c r="C47" s="290">
        <f>YEAR(C20)</f>
        <v>2024</v>
      </c>
      <c r="D47" s="291">
        <f ca="1">VLOOKUP($C47,Saisie!$C$4:$J$44,D$1,FALSE)/VLOOKUP($C$6,Saisie!$C$4:$J$44,D$1,FALSE)*100</f>
        <v>77.780251286221585</v>
      </c>
      <c r="E47" s="292">
        <f ca="1">$E$6*D47/$D$6</f>
        <v>7.7780251286221587</v>
      </c>
      <c r="F47" s="291">
        <f ca="1">VLOOKUP($C47,Saisie!$C$4:$J$44,F$1,FALSE)/VLOOKUP($C$6,Saisie!$C$4:$J$44,F$1,FALSE)*100</f>
        <v>84.056820102390944</v>
      </c>
      <c r="G47" s="292">
        <f ca="1">$G$6*F47/$F$6</f>
        <v>8.4056820102390937</v>
      </c>
      <c r="H47" s="291">
        <f ca="1">VLOOKUP($C47,Saisie!$C$4:$J$44,H$1,FALSE)/VLOOKUP($C$6,Saisie!$C$4:$J$44,H$1,FALSE)*100</f>
        <v>107.1841478868147</v>
      </c>
      <c r="I47" s="343">
        <f ca="1">$I$6*H47/$H$6</f>
        <v>2.0091430431659556</v>
      </c>
      <c r="J47" s="291">
        <f ca="1">VLOOKUP($C47,Saisie!$C$4:$J$44,K$1,FALSE)/VLOOKUP($C$6,Saisie!$C$4:$J$44,K$1,FALSE)*100</f>
        <v>85.468591191489026</v>
      </c>
      <c r="K47" s="292">
        <f ca="1">$K$6*J47/$J$6</f>
        <v>8.5468591191489036</v>
      </c>
      <c r="L47" s="291">
        <f ca="1">VLOOKUP($C47,Saisie!$C$4:$J$44,M$1,FALSE)/VLOOKUP($C$6,Saisie!$C$4:$J$44,M$1,FALSE)*100</f>
        <v>87.454783406826891</v>
      </c>
      <c r="M47" s="292">
        <f ca="1">$M$6*L47/$L$6</f>
        <v>8.7454783406826895</v>
      </c>
      <c r="N47" s="291">
        <f ca="1">VLOOKUP($C47,Saisie!$C$4:$J$44,O$1,FALSE)/VLOOKUP($C$6,Saisie!$C$4:$J$44,O$1,FALSE)*100</f>
        <v>85.227602459972971</v>
      </c>
      <c r="O47" s="293">
        <f ca="1">$O$6*N47/$N$6</f>
        <v>8.5227602459972971</v>
      </c>
      <c r="P47" s="289"/>
      <c r="Q47" s="273"/>
      <c r="R47" s="294"/>
      <c r="S47" s="352"/>
    </row>
    <row r="48" spans="1:19" s="295" customFormat="1" ht="17.100000000000001" customHeight="1" thickBot="1" x14ac:dyDescent="0.3">
      <c r="A48" s="289"/>
      <c r="B48" s="289"/>
      <c r="C48" s="296">
        <f>YEAR(C33)</f>
        <v>2025</v>
      </c>
      <c r="D48" s="297">
        <f ca="1">VLOOKUP($C48,Saisie!$C$4:$J$44,D$1,FALSE)/VLOOKUP($C$6,Saisie!$C$4:$J$44,D$1,FALSE)*100</f>
        <v>87.290290858744498</v>
      </c>
      <c r="E48" s="298">
        <f ca="1">$E$6*D48/$D$6</f>
        <v>8.7290290858744495</v>
      </c>
      <c r="F48" s="297">
        <f ca="1">VLOOKUP($C48,Saisie!$C$4:$J$44,F$1,FALSE)/VLOOKUP($C$6,Saisie!$C$4:$J$44,F$1,FALSE)*100</f>
        <v>75.966666721520326</v>
      </c>
      <c r="G48" s="298">
        <f ca="1">$G$6*F48/$F$6</f>
        <v>7.5966666721520326</v>
      </c>
      <c r="H48" s="297">
        <f ca="1">VLOOKUP($C48,Saisie!$C$4:$J$44,H$1,FALSE)/VLOOKUP($C$6,Saisie!$C$4:$J$44,H$1,FALSE)*100</f>
        <v>113.84207804896556</v>
      </c>
      <c r="I48" s="299">
        <f ca="1">$I$6*H48/$H$6</f>
        <v>2.1339444651196562</v>
      </c>
      <c r="J48" s="297">
        <f ca="1">VLOOKUP($C48,Saisie!$C$4:$J$44,K$1,FALSE)/VLOOKUP($C$6,Saisie!$C$4:$J$44,K$1,FALSE)*100</f>
        <v>90.767327425021804</v>
      </c>
      <c r="K48" s="298">
        <f ca="1">$K$6*J48/$J$6</f>
        <v>9.0767327425021804</v>
      </c>
      <c r="L48" s="297">
        <f ca="1">VLOOKUP($C48,Saisie!$C$4:$J$44,M$1,FALSE)/VLOOKUP($C$6,Saisie!$C$4:$J$44,M$1,FALSE)*100</f>
        <v>87.522225702974083</v>
      </c>
      <c r="M48" s="298">
        <f ca="1">$M$6*L48/$L$6</f>
        <v>8.752222570297409</v>
      </c>
      <c r="N48" s="297">
        <f ca="1">VLOOKUP($C48,Saisie!$C$4:$J$44,O$1,FALSE)/VLOOKUP($C$6,Saisie!$C$4:$J$44,O$1,FALSE)*100</f>
        <v>87.733749382677644</v>
      </c>
      <c r="O48" s="300">
        <f ca="1">$O$6*N48/$N$6</f>
        <v>8.7733749382677644</v>
      </c>
      <c r="P48" s="289"/>
      <c r="Q48" s="239"/>
      <c r="R48" s="294"/>
      <c r="S48" s="352"/>
    </row>
    <row r="49" spans="1:18" ht="38.1" customHeight="1" x14ac:dyDescent="0.2">
      <c r="A49"/>
      <c r="B49"/>
      <c r="C49" s="393" t="s">
        <v>122</v>
      </c>
      <c r="D49" s="393"/>
      <c r="E49" s="393"/>
      <c r="F49" s="393"/>
      <c r="G49" s="393"/>
      <c r="H49" s="393"/>
      <c r="I49" s="393"/>
      <c r="J49" s="393"/>
      <c r="K49" s="393"/>
      <c r="L49" s="393"/>
      <c r="M49" s="393"/>
      <c r="N49" s="393"/>
      <c r="O49" s="393"/>
      <c r="P49" s="394"/>
      <c r="Q49" s="239"/>
      <c r="R49" s="301"/>
    </row>
    <row r="50" spans="1:18" ht="30" customHeight="1" x14ac:dyDescent="0.2">
      <c r="A50"/>
      <c r="B50"/>
      <c r="C50" s="395" t="s">
        <v>123</v>
      </c>
      <c r="D50" s="395"/>
      <c r="E50" s="395"/>
      <c r="F50" s="395"/>
      <c r="G50" s="395"/>
      <c r="H50" s="395"/>
      <c r="I50" s="395"/>
      <c r="J50" s="395"/>
      <c r="K50" s="395"/>
      <c r="L50" s="395"/>
      <c r="M50" s="395"/>
      <c r="N50" s="395"/>
      <c r="O50" s="395"/>
      <c r="P50" s="395"/>
      <c r="Q50"/>
      <c r="R50" s="301"/>
    </row>
    <row r="51" spans="1:18" ht="13.5" customHeight="1" thickBot="1" x14ac:dyDescent="0.25">
      <c r="A51"/>
      <c r="B51"/>
      <c r="C51" s="398"/>
      <c r="D51" s="398"/>
      <c r="E51" s="398"/>
      <c r="F51" s="398"/>
      <c r="G51" s="398"/>
      <c r="H51" s="398"/>
      <c r="I51" s="398"/>
      <c r="J51" s="398"/>
      <c r="K51" s="398"/>
      <c r="L51" s="398"/>
      <c r="M51" s="398"/>
      <c r="N51" s="398"/>
      <c r="O51" s="398"/>
      <c r="P51" s="398"/>
      <c r="Q51"/>
      <c r="R51" s="301"/>
    </row>
    <row r="52" spans="1:18" ht="13.5" thickBot="1" x14ac:dyDescent="0.25">
      <c r="A52"/>
      <c r="B52"/>
      <c r="C52" s="386" t="s">
        <v>7</v>
      </c>
      <c r="D52" s="386"/>
      <c r="E52" s="386"/>
      <c r="F52" s="386"/>
      <c r="G52" s="387"/>
      <c r="H52" s="302">
        <f>Saisie!O17</f>
        <v>-0.15325849592604879</v>
      </c>
      <c r="I52" s="303" t="str">
        <f>C6+1&amp;"/"&amp;C6</f>
        <v>2024/2023</v>
      </c>
      <c r="J52" s="304"/>
      <c r="K52" s="1"/>
      <c r="L52" s="383" t="s">
        <v>37</v>
      </c>
      <c r="M52" s="384"/>
      <c r="N52" s="384"/>
      <c r="O52" s="385"/>
      <c r="P52" s="267"/>
      <c r="Q52"/>
      <c r="R52" s="301"/>
    </row>
    <row r="53" spans="1:18" ht="13.5" thickBot="1" x14ac:dyDescent="0.25">
      <c r="A53"/>
      <c r="B53"/>
      <c r="C53" s="386" t="s">
        <v>7</v>
      </c>
      <c r="D53" s="386"/>
      <c r="E53" s="386"/>
      <c r="F53" s="386"/>
      <c r="G53" s="387"/>
      <c r="H53" s="305">
        <f>Saisie!P17</f>
        <v>-0.12816135273270368</v>
      </c>
      <c r="I53" s="306" t="str">
        <f>C6+2&amp;"/"&amp;C6</f>
        <v>2025/2023</v>
      </c>
      <c r="J53" s="304"/>
      <c r="K53" s="1"/>
      <c r="L53" s="307">
        <f>C6+1</f>
        <v>2024</v>
      </c>
      <c r="M53" s="308">
        <f>VLOOKUP(L53,Saisie!$C$6:$J$8,8,TRUE)</f>
        <v>1.3643293955257894</v>
      </c>
      <c r="N53" s="388" t="s">
        <v>38</v>
      </c>
      <c r="O53" s="388"/>
      <c r="P53" s="267"/>
      <c r="Q53"/>
    </row>
    <row r="54" spans="1:18" ht="13.5" thickBot="1" x14ac:dyDescent="0.25">
      <c r="A54"/>
      <c r="B54"/>
      <c r="C54" s="309"/>
      <c r="D54" s="1"/>
      <c r="E54" s="267"/>
      <c r="F54" s="1"/>
      <c r="G54" s="310"/>
      <c r="H54" s="311"/>
      <c r="I54" s="312"/>
      <c r="J54" s="312"/>
      <c r="K54" s="1"/>
      <c r="L54" s="313">
        <f>L53+1</f>
        <v>2025</v>
      </c>
      <c r="M54" s="314">
        <f>VLOOKUP(L54,Saisie!$C$6:$J$8,8,TRUE)</f>
        <v>1.3799448022079124</v>
      </c>
      <c r="N54" s="389" t="s">
        <v>38</v>
      </c>
      <c r="O54" s="390"/>
      <c r="P54" s="267"/>
      <c r="Q54"/>
    </row>
    <row r="55" spans="1:18" hidden="1" x14ac:dyDescent="0.2">
      <c r="A55"/>
      <c r="B55"/>
      <c r="C55"/>
      <c r="D55"/>
      <c r="E55"/>
      <c r="F55"/>
      <c r="G55"/>
      <c r="H55"/>
      <c r="I55"/>
      <c r="J55"/>
      <c r="K55"/>
      <c r="L55"/>
      <c r="M55"/>
      <c r="N55"/>
      <c r="O55"/>
      <c r="P55"/>
      <c r="Q55"/>
    </row>
    <row r="56" spans="1:18" hidden="1" x14ac:dyDescent="0.2">
      <c r="A56"/>
      <c r="B56"/>
      <c r="C56"/>
      <c r="D56"/>
      <c r="E56"/>
      <c r="F56"/>
      <c r="G56"/>
      <c r="H56"/>
      <c r="I56"/>
      <c r="J56"/>
      <c r="K56"/>
      <c r="L56"/>
      <c r="M56"/>
      <c r="N56"/>
      <c r="O56"/>
      <c r="P56"/>
      <c r="Q56"/>
    </row>
    <row r="57" spans="1:18" ht="15.6" customHeight="1" x14ac:dyDescent="0.25">
      <c r="A57"/>
      <c r="B57"/>
      <c r="C57" s="364" t="s">
        <v>127</v>
      </c>
      <c r="D57" s="315"/>
      <c r="E57" s="316"/>
      <c r="F57" s="317"/>
      <c r="G57" s="318"/>
      <c r="H57" s="317"/>
      <c r="I57" s="319"/>
      <c r="J57" s="319"/>
      <c r="K57" s="317"/>
      <c r="L57" s="315"/>
      <c r="M57" s="316"/>
      <c r="N57" s="317"/>
      <c r="O57" s="318"/>
      <c r="P57" s="317"/>
      <c r="Q57"/>
    </row>
    <row r="58" spans="1:18" ht="21" customHeight="1" thickBot="1" x14ac:dyDescent="0.25">
      <c r="A58"/>
      <c r="B58"/>
      <c r="C58" s="320">
        <f>C47</f>
        <v>2024</v>
      </c>
      <c r="D58" s="1"/>
      <c r="E58" s="321" t="s">
        <v>76</v>
      </c>
      <c r="F58" s="322"/>
      <c r="G58" s="321" t="s">
        <v>85</v>
      </c>
      <c r="H58" s="322"/>
      <c r="I58" s="312"/>
      <c r="J58" s="312"/>
      <c r="K58" s="323">
        <f>C48</f>
        <v>2025</v>
      </c>
      <c r="L58" s="129"/>
      <c r="M58" s="321" t="s">
        <v>76</v>
      </c>
      <c r="N58" s="322"/>
      <c r="O58" s="321" t="s">
        <v>85</v>
      </c>
      <c r="P58" s="322"/>
      <c r="Q58"/>
    </row>
    <row r="59" spans="1:18" ht="18.75" customHeight="1" thickBot="1" x14ac:dyDescent="0.25">
      <c r="A59"/>
      <c r="B59"/>
      <c r="C59" s="324"/>
      <c r="D59" s="325" t="s">
        <v>83</v>
      </c>
      <c r="E59" s="326">
        <f>IF('Détails ASRA'!J22='Coti ASRA prev'!$B$1," - ",'Détails ASRA'!J22)</f>
        <v>76.863063428106656</v>
      </c>
      <c r="F59" s="327" t="str">
        <f>'Détails ASRA'!I22</f>
        <v>$ / truie</v>
      </c>
      <c r="G59" s="328">
        <f>IF('Détails ASRA'!J20='Coti ASRA prev'!$B$1," - ",'Détails ASRA'!J20)</f>
        <v>6.7999868170253927E-2</v>
      </c>
      <c r="H59" s="329" t="str">
        <f>'Détails ASRA'!I20</f>
        <v>$ / kg</v>
      </c>
      <c r="I59" s="312"/>
      <c r="J59" s="312"/>
      <c r="K59" s="330"/>
      <c r="L59" s="325" t="s">
        <v>83</v>
      </c>
      <c r="M59" s="326" t="str">
        <f>IF('Détails ASRA'!K22='Coti ASRA prev'!$B$1," - ",'Détails ASRA'!K22)</f>
        <v xml:space="preserve"> - </v>
      </c>
      <c r="N59" s="331" t="str">
        <f>F59</f>
        <v>$ / truie</v>
      </c>
      <c r="O59" s="332" t="str">
        <f>IF('Détails ASRA'!K20='Coti ASRA prev'!$B$1," - ",'Détails ASRA'!K20)</f>
        <v xml:space="preserve"> - </v>
      </c>
      <c r="P59" s="329" t="str">
        <f>H59</f>
        <v>$ / kg</v>
      </c>
      <c r="Q59"/>
    </row>
    <row r="60" spans="1:18" ht="18.75" customHeight="1" thickTop="1" thickBot="1" x14ac:dyDescent="0.3">
      <c r="A60"/>
      <c r="B60"/>
      <c r="C60" s="333"/>
      <c r="D60" s="334" t="s">
        <v>84</v>
      </c>
      <c r="E60" s="407">
        <f>'Détails ASRA'!J28</f>
        <v>90.15</v>
      </c>
      <c r="F60" s="336" t="str">
        <f>F59</f>
        <v>$ / truie</v>
      </c>
      <c r="G60" s="337">
        <f>'Détails ASRA'!J26</f>
        <v>7.3899999999999993E-2</v>
      </c>
      <c r="H60" s="338" t="str">
        <f>H59</f>
        <v>$ / kg</v>
      </c>
      <c r="I60" s="312"/>
      <c r="J60" s="312"/>
      <c r="K60" s="333"/>
      <c r="L60" s="334" t="s">
        <v>84</v>
      </c>
      <c r="M60" s="335">
        <f>'Détails ASRA'!K28</f>
        <v>90.15</v>
      </c>
      <c r="N60" s="339" t="str">
        <f>N59</f>
        <v>$ / truie</v>
      </c>
      <c r="O60" s="337">
        <f>'Détails ASRA'!K26</f>
        <v>7.3899999999999993E-2</v>
      </c>
      <c r="P60" s="338" t="str">
        <f>P59</f>
        <v>$ / kg</v>
      </c>
      <c r="Q60"/>
    </row>
    <row r="61" spans="1:18" ht="18.75" customHeight="1" x14ac:dyDescent="0.25">
      <c r="A61"/>
      <c r="B61"/>
      <c r="C61"/>
      <c r="D61" s="340"/>
      <c r="E61" s="202"/>
      <c r="F61"/>
      <c r="G61" s="235"/>
      <c r="H61"/>
      <c r="I61" s="312"/>
      <c r="J61" s="312"/>
      <c r="K61"/>
      <c r="L61" s="340"/>
      <c r="M61" s="202"/>
      <c r="N61"/>
      <c r="O61" s="235"/>
      <c r="P61"/>
      <c r="Q61"/>
    </row>
    <row r="62" spans="1:18" ht="15.6" customHeight="1" x14ac:dyDescent="0.2">
      <c r="A62"/>
      <c r="B62"/>
      <c r="C62"/>
      <c r="D62"/>
      <c r="E62"/>
      <c r="F62"/>
      <c r="G62"/>
      <c r="H62"/>
      <c r="I62"/>
      <c r="J62"/>
      <c r="K62"/>
      <c r="L62"/>
      <c r="M62"/>
      <c r="N62"/>
      <c r="O62"/>
      <c r="P62"/>
      <c r="Q62"/>
    </row>
    <row r="63" spans="1:18" ht="12.75" customHeight="1" x14ac:dyDescent="0.2">
      <c r="A63" s="139"/>
      <c r="B63" s="139"/>
      <c r="C63" s="139"/>
      <c r="D63" s="139"/>
      <c r="E63" s="139"/>
      <c r="F63" s="139"/>
      <c r="G63" s="139"/>
      <c r="H63" s="139"/>
      <c r="I63" s="139"/>
      <c r="J63" s="139"/>
      <c r="K63" s="139"/>
      <c r="L63" s="139"/>
      <c r="M63" s="139"/>
      <c r="N63" s="139"/>
      <c r="O63" s="139"/>
      <c r="P63" s="139"/>
      <c r="Q63" s="139"/>
    </row>
    <row r="83" spans="5:5" x14ac:dyDescent="0.2">
      <c r="E83" s="157"/>
    </row>
    <row r="84" spans="5:5" x14ac:dyDescent="0.2">
      <c r="E84" s="157"/>
    </row>
  </sheetData>
  <sheetProtection sheet="1" objects="1" scenarios="1" selectLockedCells="1"/>
  <mergeCells count="15">
    <mergeCell ref="F2:O2"/>
    <mergeCell ref="L52:O52"/>
    <mergeCell ref="C53:G53"/>
    <mergeCell ref="N53:O53"/>
    <mergeCell ref="N54:O54"/>
    <mergeCell ref="D4:E4"/>
    <mergeCell ref="F4:G4"/>
    <mergeCell ref="J4:K4"/>
    <mergeCell ref="L4:M4"/>
    <mergeCell ref="N4:O4"/>
    <mergeCell ref="C52:G52"/>
    <mergeCell ref="C49:P49"/>
    <mergeCell ref="C50:P50"/>
    <mergeCell ref="H4:I4"/>
    <mergeCell ref="C51:P51"/>
  </mergeCells>
  <phoneticPr fontId="2" type="noConversion"/>
  <printOptions horizontalCentered="1" verticalCentered="1"/>
  <pageMargins left="0" right="0" top="0" bottom="0" header="0.31496062992125984" footer="0.31496062992125984"/>
  <pageSetup scale="70" fitToWidth="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0C2A4-EA86-4CBA-8FC4-024CDC1E039C}">
  <sheetPr>
    <pageSetUpPr fitToPage="1"/>
  </sheetPr>
  <dimension ref="A1:BQ350"/>
  <sheetViews>
    <sheetView showGridLines="0" showRowColHeaders="0" zoomScale="90" zoomScaleNormal="90" workbookViewId="0">
      <selection activeCell="A53" sqref="A53"/>
    </sheetView>
  </sheetViews>
  <sheetFormatPr baseColWidth="10" defaultRowHeight="12.75" x14ac:dyDescent="0.2"/>
  <cols>
    <col min="1" max="2" width="2.5703125" customWidth="1"/>
    <col min="3" max="3" width="13.7109375" customWidth="1"/>
    <col min="4" max="4" width="16" customWidth="1"/>
    <col min="5" max="5" width="17.7109375" customWidth="1"/>
    <col min="6" max="6" width="13.28515625" customWidth="1"/>
    <col min="7" max="7" width="6" customWidth="1"/>
    <col min="8" max="8" width="9.5703125" customWidth="1"/>
    <col min="12" max="12" width="17.85546875" customWidth="1"/>
  </cols>
  <sheetData>
    <row r="1" spans="3:69" ht="140.25" customHeight="1" x14ac:dyDescent="0.2">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row>
    <row r="2" spans="3:69" ht="15.75" x14ac:dyDescent="0.25">
      <c r="C2" s="365" t="s">
        <v>121</v>
      </c>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row>
    <row r="3" spans="3:69" ht="13.5" thickBot="1" x14ac:dyDescent="0.25">
      <c r="C3" s="205"/>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row>
    <row r="4" spans="3:69" ht="46.5" thickBot="1" x14ac:dyDescent="0.25">
      <c r="C4" s="138" t="s">
        <v>79</v>
      </c>
      <c r="D4" s="206" t="s">
        <v>117</v>
      </c>
      <c r="E4" s="368" t="s">
        <v>128</v>
      </c>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row>
    <row r="5" spans="3:69" ht="17.25" thickTop="1" thickBot="1" x14ac:dyDescent="0.25">
      <c r="C5" s="399">
        <f>Saisie!O10</f>
        <v>2024</v>
      </c>
      <c r="D5" s="400"/>
      <c r="E5" s="401"/>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row>
    <row r="6" spans="3:69" ht="13.5" thickTop="1" x14ac:dyDescent="0.2">
      <c r="C6" s="209" t="s">
        <v>95</v>
      </c>
      <c r="D6" s="366">
        <v>0</v>
      </c>
      <c r="E6" s="348">
        <f>'Résultats vs 2023'!I9-('Résultats vs 2023'!I9*D6)</f>
        <v>1.778935991633638</v>
      </c>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row>
    <row r="7" spans="3:69" x14ac:dyDescent="0.2">
      <c r="C7" s="207" t="s">
        <v>96</v>
      </c>
      <c r="D7" s="366">
        <v>0</v>
      </c>
      <c r="E7" s="348">
        <f>'Résultats vs 2023'!I10-('Résultats vs 2023'!I10*D7)</f>
        <v>1.8331041542473918</v>
      </c>
      <c r="M7" s="153"/>
      <c r="N7" s="153"/>
      <c r="O7" s="225"/>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D7" s="153"/>
      <c r="BE7" s="153"/>
      <c r="BF7" s="153"/>
      <c r="BG7" s="153"/>
      <c r="BH7" s="153"/>
      <c r="BI7" s="153"/>
      <c r="BJ7" s="153"/>
      <c r="BK7" s="153"/>
      <c r="BL7" s="153"/>
      <c r="BM7" s="153"/>
      <c r="BN7" s="153"/>
      <c r="BO7" s="153"/>
      <c r="BP7" s="153"/>
      <c r="BQ7" s="153"/>
    </row>
    <row r="8" spans="3:69" x14ac:dyDescent="0.2">
      <c r="C8" s="207" t="s">
        <v>97</v>
      </c>
      <c r="D8" s="366">
        <v>0</v>
      </c>
      <c r="E8" s="348">
        <f>'Résultats vs 2023'!I11-('Résultats vs 2023'!I11*D8)</f>
        <v>1.9214448970290028</v>
      </c>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c r="BQ8" s="153"/>
    </row>
    <row r="9" spans="3:69" x14ac:dyDescent="0.2">
      <c r="C9" s="207" t="s">
        <v>98</v>
      </c>
      <c r="D9" s="366">
        <v>0</v>
      </c>
      <c r="E9" s="348">
        <f>'Résultats vs 2023'!I12-('Résultats vs 2023'!I12*D9)</f>
        <v>2.0659803220495938</v>
      </c>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row>
    <row r="10" spans="3:69" x14ac:dyDescent="0.2">
      <c r="C10" s="207" t="s">
        <v>99</v>
      </c>
      <c r="D10" s="366">
        <v>0</v>
      </c>
      <c r="E10" s="348">
        <f>'Résultats vs 2023'!I13-('Résultats vs 2023'!I13*D10)</f>
        <v>2.0843186939156975</v>
      </c>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153"/>
      <c r="BK10" s="153"/>
      <c r="BL10" s="153"/>
      <c r="BM10" s="153"/>
      <c r="BN10" s="153"/>
      <c r="BO10" s="153"/>
      <c r="BP10" s="153"/>
      <c r="BQ10" s="153"/>
    </row>
    <row r="11" spans="3:69" x14ac:dyDescent="0.2">
      <c r="C11" s="207" t="s">
        <v>100</v>
      </c>
      <c r="D11" s="366">
        <v>0</v>
      </c>
      <c r="E11" s="348">
        <f>'Résultats vs 2023'!I14-('Résultats vs 2023'!I14*D11)</f>
        <v>2.0879585225877988</v>
      </c>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row>
    <row r="12" spans="3:69" x14ac:dyDescent="0.2">
      <c r="C12" s="207" t="s">
        <v>101</v>
      </c>
      <c r="D12" s="366">
        <v>0</v>
      </c>
      <c r="E12" s="348">
        <f>'Résultats vs 2023'!I15-('Résultats vs 2023'!I15*D12)</f>
        <v>2.0777396891728008</v>
      </c>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row>
    <row r="13" spans="3:69" x14ac:dyDescent="0.2">
      <c r="C13" s="207" t="s">
        <v>102</v>
      </c>
      <c r="D13" s="366">
        <v>0</v>
      </c>
      <c r="E13" s="348">
        <f>'Résultats vs 2023'!I16-('Résultats vs 2023'!I16*D13)</f>
        <v>2.1254453787343719</v>
      </c>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row>
    <row r="14" spans="3:69" x14ac:dyDescent="0.2">
      <c r="C14" s="207" t="s">
        <v>103</v>
      </c>
      <c r="D14" s="366">
        <v>0</v>
      </c>
      <c r="E14" s="348">
        <f>'Résultats vs 2023'!I17-('Résultats vs 2023'!I17*D14)</f>
        <v>2.0234697735704237</v>
      </c>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row>
    <row r="15" spans="3:69" x14ac:dyDescent="0.2">
      <c r="C15" s="207" t="s">
        <v>104</v>
      </c>
      <c r="D15" s="366">
        <v>0</v>
      </c>
      <c r="E15" s="348">
        <f>'Résultats vs 2023'!I18-('Résultats vs 2023'!I18*D15)</f>
        <v>2.1080210640873434</v>
      </c>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153"/>
      <c r="BH15" s="153"/>
      <c r="BI15" s="153"/>
      <c r="BJ15" s="153"/>
      <c r="BK15" s="153"/>
      <c r="BL15" s="153"/>
      <c r="BM15" s="153"/>
      <c r="BN15" s="153"/>
      <c r="BO15" s="153"/>
      <c r="BP15" s="153"/>
      <c r="BQ15" s="153"/>
    </row>
    <row r="16" spans="3:69" x14ac:dyDescent="0.2">
      <c r="C16" s="207" t="s">
        <v>105</v>
      </c>
      <c r="D16" s="366">
        <v>-8.5584441023435903E-3</v>
      </c>
      <c r="E16" s="349">
        <f>'Résultats vs 2023'!I19-('Résultats vs 2023'!I19*D16)</f>
        <v>2.0474878094185076</v>
      </c>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row>
    <row r="17" spans="3:69" ht="13.5" thickBot="1" x14ac:dyDescent="0.25">
      <c r="C17" s="208" t="s">
        <v>106</v>
      </c>
      <c r="D17" s="367">
        <v>-8.9299434913893017E-3</v>
      </c>
      <c r="E17" s="349">
        <f>'Résultats vs 2023'!I20-('Résultats vs 2023'!I20*D17)</f>
        <v>1.9622964163277608</v>
      </c>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row>
    <row r="18" spans="3:69" ht="16.5" thickBot="1" x14ac:dyDescent="0.25">
      <c r="C18" s="402">
        <f>Saisie!P10</f>
        <v>2025</v>
      </c>
      <c r="D18" s="403"/>
      <c r="E18" s="404"/>
      <c r="F18" s="346"/>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row>
    <row r="19" spans="3:69" ht="13.5" thickTop="1" x14ac:dyDescent="0.2">
      <c r="C19" s="373" t="s">
        <v>95</v>
      </c>
      <c r="D19" s="374">
        <v>-5.1377530191962081E-3</v>
      </c>
      <c r="E19" s="375">
        <f>'Résultats vs 2023'!I22-('Résultats vs 2023'!I22*D19)</f>
        <v>1.9490600476147748</v>
      </c>
      <c r="F19" s="346"/>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3"/>
      <c r="BI19" s="153"/>
      <c r="BJ19" s="153"/>
      <c r="BK19" s="153"/>
      <c r="BL19" s="153"/>
      <c r="BM19" s="153"/>
      <c r="BN19" s="153"/>
      <c r="BO19" s="153"/>
      <c r="BP19" s="153"/>
      <c r="BQ19" s="153"/>
    </row>
    <row r="20" spans="3:69" x14ac:dyDescent="0.2">
      <c r="C20" s="207" t="s">
        <v>96</v>
      </c>
      <c r="D20" s="366">
        <v>0</v>
      </c>
      <c r="E20" s="220">
        <f>'Résultats vs 2023'!I23-('Résultats vs 2023'!I23*D20)</f>
        <v>1.9207130246000066</v>
      </c>
      <c r="F20" s="346"/>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c r="BG20" s="153"/>
      <c r="BH20" s="153"/>
      <c r="BI20" s="153"/>
      <c r="BJ20" s="153"/>
      <c r="BK20" s="153"/>
      <c r="BL20" s="153"/>
      <c r="BM20" s="153"/>
      <c r="BN20" s="153"/>
      <c r="BO20" s="153"/>
      <c r="BP20" s="153"/>
      <c r="BQ20" s="153"/>
    </row>
    <row r="21" spans="3:69" x14ac:dyDescent="0.2">
      <c r="C21" s="207" t="s">
        <v>97</v>
      </c>
      <c r="D21" s="366">
        <v>0</v>
      </c>
      <c r="E21" s="220">
        <f>'Résultats vs 2023'!I24-('Résultats vs 2023'!I24*D21)</f>
        <v>1.9955467758968388</v>
      </c>
      <c r="F21" s="346"/>
      <c r="M21" s="225"/>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c r="BO21" s="153"/>
      <c r="BP21" s="153"/>
      <c r="BQ21" s="153"/>
    </row>
    <row r="22" spans="3:69" x14ac:dyDescent="0.2">
      <c r="C22" s="207" t="s">
        <v>98</v>
      </c>
      <c r="D22" s="366">
        <v>0</v>
      </c>
      <c r="E22" s="220">
        <f>'Résultats vs 2023'!I25-('Résultats vs 2023'!I25*D22)</f>
        <v>2.05208792257072</v>
      </c>
      <c r="F22" s="346"/>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3"/>
      <c r="BO22" s="153"/>
      <c r="BP22" s="153"/>
      <c r="BQ22" s="153"/>
    </row>
    <row r="23" spans="3:69" x14ac:dyDescent="0.2">
      <c r="C23" s="207" t="s">
        <v>99</v>
      </c>
      <c r="D23" s="366">
        <v>0</v>
      </c>
      <c r="E23" s="220">
        <f>'Résultats vs 2023'!I26-('Résultats vs 2023'!I26*D23)</f>
        <v>2.2243179615616717</v>
      </c>
      <c r="F23" s="346"/>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3"/>
      <c r="BO23" s="153"/>
      <c r="BP23" s="153"/>
      <c r="BQ23" s="153"/>
    </row>
    <row r="24" spans="3:69" x14ac:dyDescent="0.2">
      <c r="C24" s="207" t="s">
        <v>100</v>
      </c>
      <c r="D24" s="366">
        <v>0</v>
      </c>
      <c r="E24" s="220">
        <f>'Résultats vs 2023'!I27-('Résultats vs 2023'!I27*D24)</f>
        <v>2.3233028406421825</v>
      </c>
      <c r="F24" s="346"/>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3"/>
      <c r="BO24" s="153"/>
      <c r="BP24" s="153"/>
      <c r="BQ24" s="153"/>
    </row>
    <row r="25" spans="3:69" x14ac:dyDescent="0.2">
      <c r="C25" s="207" t="s">
        <v>101</v>
      </c>
      <c r="D25" s="366">
        <v>0</v>
      </c>
      <c r="E25" s="220">
        <f>'Résultats vs 2023'!I28-('Résultats vs 2023'!I28*D25)</f>
        <v>2.5386976393671294</v>
      </c>
      <c r="F25" s="346"/>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3"/>
      <c r="BC25" s="153"/>
      <c r="BD25" s="153"/>
      <c r="BE25" s="153"/>
      <c r="BF25" s="153"/>
      <c r="BG25" s="153"/>
      <c r="BH25" s="153"/>
      <c r="BI25" s="153"/>
      <c r="BJ25" s="153"/>
      <c r="BK25" s="153"/>
      <c r="BL25" s="153"/>
      <c r="BM25" s="153"/>
      <c r="BN25" s="153"/>
      <c r="BO25" s="153"/>
      <c r="BP25" s="153"/>
      <c r="BQ25" s="153"/>
    </row>
    <row r="26" spans="3:69" x14ac:dyDescent="0.2">
      <c r="C26" s="207" t="s">
        <v>102</v>
      </c>
      <c r="D26" s="366">
        <v>0</v>
      </c>
      <c r="E26" s="220">
        <f>'Résultats vs 2023'!I29-('Résultats vs 2023'!I29*D26)</f>
        <v>2.3985881146480152</v>
      </c>
      <c r="F26" s="346"/>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c r="BG26" s="153"/>
      <c r="BH26" s="153"/>
      <c r="BI26" s="153"/>
      <c r="BJ26" s="153"/>
      <c r="BK26" s="153"/>
      <c r="BL26" s="153"/>
      <c r="BM26" s="153"/>
      <c r="BN26" s="153"/>
      <c r="BO26" s="153"/>
      <c r="BP26" s="153"/>
      <c r="BQ26" s="153"/>
    </row>
    <row r="27" spans="3:69" x14ac:dyDescent="0.2">
      <c r="C27" s="207" t="s">
        <v>103</v>
      </c>
      <c r="D27" s="366">
        <v>0</v>
      </c>
      <c r="E27" s="220">
        <f>'Résultats vs 2023'!I30-('Résultats vs 2023'!I30*D27)</f>
        <v>2.1456820261289993</v>
      </c>
      <c r="F27" s="346"/>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c r="BG27" s="153"/>
      <c r="BH27" s="153"/>
      <c r="BI27" s="153"/>
      <c r="BJ27" s="153"/>
      <c r="BK27" s="153"/>
      <c r="BL27" s="153"/>
      <c r="BM27" s="153"/>
      <c r="BN27" s="153"/>
      <c r="BO27" s="153"/>
      <c r="BP27" s="153"/>
      <c r="BQ27" s="153"/>
    </row>
    <row r="28" spans="3:69" x14ac:dyDescent="0.2">
      <c r="C28" s="207" t="s">
        <v>104</v>
      </c>
      <c r="D28" s="366">
        <v>0</v>
      </c>
      <c r="E28" s="220">
        <f>'Résultats vs 2023'!I31-('Résultats vs 2023'!I31*D28)</f>
        <v>2.1749091017569122</v>
      </c>
      <c r="F28" s="346"/>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c r="BF28" s="153"/>
      <c r="BG28" s="153"/>
      <c r="BH28" s="153"/>
      <c r="BI28" s="153"/>
      <c r="BJ28" s="153"/>
      <c r="BK28" s="153"/>
      <c r="BL28" s="153"/>
      <c r="BM28" s="153"/>
      <c r="BN28" s="153"/>
      <c r="BO28" s="153"/>
      <c r="BP28" s="153"/>
      <c r="BQ28" s="153"/>
    </row>
    <row r="29" spans="3:69" x14ac:dyDescent="0.2">
      <c r="C29" s="207" t="s">
        <v>105</v>
      </c>
      <c r="D29" s="366">
        <v>0</v>
      </c>
      <c r="E29" s="220">
        <f>'Résultats vs 2023'!I32-('Résultats vs 2023'!I32*D29)</f>
        <v>1.9993690543943736</v>
      </c>
      <c r="F29" s="346"/>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BO29" s="153"/>
      <c r="BP29" s="153"/>
      <c r="BQ29" s="153"/>
    </row>
    <row r="30" spans="3:69" ht="13.5" thickBot="1" x14ac:dyDescent="0.25">
      <c r="C30" s="208" t="s">
        <v>106</v>
      </c>
      <c r="D30" s="367">
        <v>0</v>
      </c>
      <c r="E30" s="376">
        <f>'Résultats vs 2023'!I33-('Résultats vs 2023'!I33*D30)</f>
        <v>1.8950216760009968</v>
      </c>
      <c r="F30" s="346"/>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c r="BA30" s="153"/>
      <c r="BB30" s="153"/>
      <c r="BC30" s="153"/>
      <c r="BD30" s="153"/>
      <c r="BE30" s="153"/>
      <c r="BF30" s="153"/>
      <c r="BG30" s="153"/>
      <c r="BH30" s="153"/>
      <c r="BI30" s="153"/>
      <c r="BJ30" s="153"/>
      <c r="BK30" s="153"/>
      <c r="BL30" s="153"/>
      <c r="BM30" s="153"/>
      <c r="BN30" s="153"/>
      <c r="BO30" s="153"/>
      <c r="BP30" s="153"/>
      <c r="BQ30" s="153"/>
    </row>
    <row r="31" spans="3:69" x14ac:dyDescent="0.2">
      <c r="C31" s="221" t="s">
        <v>110</v>
      </c>
      <c r="D31" s="221"/>
      <c r="E31" s="221"/>
      <c r="F31" s="346"/>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3"/>
      <c r="BQ31" s="153"/>
    </row>
    <row r="32" spans="3:69" x14ac:dyDescent="0.2">
      <c r="C32" t="s">
        <v>107</v>
      </c>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row>
    <row r="33" spans="3:69" x14ac:dyDescent="0.2">
      <c r="C33" t="s">
        <v>108</v>
      </c>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row>
    <row r="34" spans="3:69" ht="13.5" thickBot="1" x14ac:dyDescent="0.25">
      <c r="D34" s="215"/>
      <c r="E34" s="226"/>
      <c r="F34" s="226"/>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BP34" s="153"/>
      <c r="BQ34" s="153"/>
    </row>
    <row r="35" spans="3:69" ht="46.5" thickBot="1" x14ac:dyDescent="0.25">
      <c r="C35" s="138" t="s">
        <v>78</v>
      </c>
      <c r="D35" s="206" t="s">
        <v>117</v>
      </c>
      <c r="E35" s="368" t="s">
        <v>128</v>
      </c>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3"/>
      <c r="BQ35" s="153"/>
    </row>
    <row r="36" spans="3:69" ht="17.25" thickTop="1" thickBot="1" x14ac:dyDescent="0.25">
      <c r="C36" s="399">
        <f>C5</f>
        <v>2024</v>
      </c>
      <c r="D36" s="400"/>
      <c r="E36" s="401"/>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3"/>
      <c r="BQ36" s="153"/>
    </row>
    <row r="37" spans="3:69" ht="13.5" thickTop="1" x14ac:dyDescent="0.2">
      <c r="C37" s="210" t="str">
        <f>"T1- "</f>
        <v xml:space="preserve">T1- </v>
      </c>
      <c r="D37" s="366">
        <f>AVERAGE(D6:D8)</f>
        <v>0</v>
      </c>
      <c r="E37" s="348">
        <f>'Résultats vs 2023'!I36-('Résultats vs 2023'!I36*'Réductions du prix des porcs'!D37)</f>
        <v>1.8415170270534347</v>
      </c>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3"/>
      <c r="BQ37" s="153"/>
    </row>
    <row r="38" spans="3:69" x14ac:dyDescent="0.2">
      <c r="C38" s="211" t="str">
        <f>"T2- "</f>
        <v xml:space="preserve">T2- </v>
      </c>
      <c r="D38" s="369">
        <f>AVERAGE(D9:D11)</f>
        <v>0</v>
      </c>
      <c r="E38" s="348">
        <f>'Résultats vs 2023'!I37-('Résultats vs 2023'!I37*D38)</f>
        <v>2.0797218620704498</v>
      </c>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3"/>
      <c r="BQ38" s="153"/>
    </row>
    <row r="39" spans="3:69" x14ac:dyDescent="0.2">
      <c r="C39" s="211" t="str">
        <f>"T3- "</f>
        <v xml:space="preserve">T3- </v>
      </c>
      <c r="D39" s="369">
        <f>AVERAGE(D12:D14)</f>
        <v>0</v>
      </c>
      <c r="E39" s="348">
        <f>'Résultats vs 2023'!I38-('Résultats vs 2023'!I38*D39)</f>
        <v>2.0763791592389382</v>
      </c>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c r="BG39" s="153"/>
      <c r="BH39" s="153"/>
      <c r="BI39" s="153"/>
      <c r="BJ39" s="153"/>
      <c r="BK39" s="153"/>
      <c r="BL39" s="153"/>
      <c r="BM39" s="153"/>
      <c r="BN39" s="153"/>
      <c r="BO39" s="153"/>
      <c r="BP39" s="153"/>
      <c r="BQ39" s="153"/>
    </row>
    <row r="40" spans="3:69" ht="13.5" thickBot="1" x14ac:dyDescent="0.25">
      <c r="C40" s="212" t="str">
        <f>"T4- "</f>
        <v xml:space="preserve">T4- </v>
      </c>
      <c r="D40" s="367">
        <f>AVERAGE(D15:D17)</f>
        <v>-5.8294625312442965E-3</v>
      </c>
      <c r="E40" s="220">
        <f>'Résultats vs 2023'!I39-('Résultats vs 2023'!I39*D40)</f>
        <v>2.0405011126538146</v>
      </c>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53"/>
      <c r="BQ40" s="153"/>
    </row>
    <row r="41" spans="3:69" ht="16.5" thickBot="1" x14ac:dyDescent="0.25">
      <c r="C41" s="402">
        <f>C36+1</f>
        <v>2025</v>
      </c>
      <c r="D41" s="403"/>
      <c r="E41" s="404"/>
      <c r="M41" s="225"/>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53"/>
      <c r="BQ41" s="153"/>
    </row>
    <row r="42" spans="3:69" ht="13.5" thickTop="1" x14ac:dyDescent="0.2">
      <c r="C42" s="210" t="str">
        <f>"T1- "</f>
        <v xml:space="preserve">T1- </v>
      </c>
      <c r="D42" s="366">
        <f>AVERAGE(D19:D21)</f>
        <v>-1.7125843397320694E-3</v>
      </c>
      <c r="E42" s="353">
        <f>'Résultats vs 2023'!I41-('Résultats vs 2023'!I41*D42)</f>
        <v>1.9551283458283693</v>
      </c>
      <c r="M42" s="225"/>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3"/>
      <c r="BQ42" s="153"/>
    </row>
    <row r="43" spans="3:69" x14ac:dyDescent="0.2">
      <c r="C43" s="211" t="str">
        <f>"T2- "</f>
        <v xml:space="preserve">T2- </v>
      </c>
      <c r="D43" s="369">
        <f>AVERAGE(D22:D24)</f>
        <v>0</v>
      </c>
      <c r="E43" s="220">
        <f>'Résultats vs 2023'!I42-('Résultats vs 2023'!I42*D43)</f>
        <v>2.1999029082581911</v>
      </c>
      <c r="M43" s="225"/>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53"/>
      <c r="BQ43" s="153"/>
    </row>
    <row r="44" spans="3:69" x14ac:dyDescent="0.2">
      <c r="C44" s="211" t="str">
        <f>"T3- "</f>
        <v xml:space="preserve">T3- </v>
      </c>
      <c r="D44" s="369">
        <f>AVERAGE(D25:D27)</f>
        <v>0</v>
      </c>
      <c r="E44" s="220">
        <f>'Résultats vs 2023'!I43-('Résultats vs 2023'!I43*D44)</f>
        <v>2.360989260048048</v>
      </c>
      <c r="M44" s="225"/>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153"/>
      <c r="BH44" s="153"/>
      <c r="BI44" s="153"/>
      <c r="BJ44" s="153"/>
      <c r="BK44" s="153"/>
      <c r="BL44" s="153"/>
      <c r="BM44" s="153"/>
      <c r="BN44" s="153"/>
      <c r="BO44" s="153"/>
      <c r="BP44" s="153"/>
      <c r="BQ44" s="153"/>
    </row>
    <row r="45" spans="3:69" ht="13.5" thickBot="1" x14ac:dyDescent="0.25">
      <c r="C45" s="212" t="str">
        <f>"T4- "</f>
        <v xml:space="preserve">T4- </v>
      </c>
      <c r="D45" s="367">
        <f>AVERAGE(D28:D30)</f>
        <v>0</v>
      </c>
      <c r="E45" s="376">
        <f>'Résultats vs 2023'!I44-('Résultats vs 2023'!I44*D45)</f>
        <v>2.0230999440507613</v>
      </c>
      <c r="M45" s="225"/>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3"/>
      <c r="BQ45" s="153"/>
    </row>
    <row r="46" spans="3:69" ht="13.5" thickBot="1" x14ac:dyDescent="0.25">
      <c r="C46" s="221" t="s">
        <v>111</v>
      </c>
      <c r="D46" s="221"/>
      <c r="E46" s="221"/>
      <c r="F46" s="204"/>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3"/>
      <c r="BC46" s="153"/>
      <c r="BD46" s="153"/>
      <c r="BE46" s="153"/>
      <c r="BF46" s="153"/>
      <c r="BG46" s="153"/>
      <c r="BH46" s="153"/>
      <c r="BI46" s="153"/>
      <c r="BJ46" s="153"/>
      <c r="BK46" s="153"/>
      <c r="BL46" s="153"/>
      <c r="BM46" s="153"/>
      <c r="BN46" s="153"/>
      <c r="BO46" s="153"/>
      <c r="BP46" s="153"/>
      <c r="BQ46" s="153"/>
    </row>
    <row r="47" spans="3:69" ht="46.5" thickBot="1" x14ac:dyDescent="0.25">
      <c r="C47" s="213" t="s">
        <v>77</v>
      </c>
      <c r="D47" s="206" t="str">
        <f>D35</f>
        <v>Rajustement moyen</v>
      </c>
      <c r="E47" s="368" t="s">
        <v>128</v>
      </c>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53"/>
      <c r="BQ47" s="153"/>
    </row>
    <row r="48" spans="3:69" ht="17.25" thickTop="1" thickBot="1" x14ac:dyDescent="0.25">
      <c r="C48" s="399">
        <f>C5</f>
        <v>2024</v>
      </c>
      <c r="D48" s="400"/>
      <c r="E48" s="401"/>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3"/>
      <c r="BQ48" s="153"/>
    </row>
    <row r="49" spans="1:69" ht="15.75" thickTop="1" thickBot="1" x14ac:dyDescent="0.25">
      <c r="C49" s="214"/>
      <c r="D49" s="370">
        <f>AVERAGE(D6:D17)</f>
        <v>-1.4573656328110741E-3</v>
      </c>
      <c r="E49" s="350">
        <f ca="1">'Résultats vs 2023'!I47-('Résultats vs 2023'!I47*D49)</f>
        <v>2.0120710991884669</v>
      </c>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c r="BO49" s="153"/>
      <c r="BP49" s="153"/>
      <c r="BQ49" s="153"/>
    </row>
    <row r="50" spans="1:69" ht="16.5" thickBot="1" x14ac:dyDescent="0.25">
      <c r="C50" s="402">
        <f>C48+1</f>
        <v>2025</v>
      </c>
      <c r="D50" s="403"/>
      <c r="E50" s="404"/>
      <c r="F50" s="347"/>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3"/>
      <c r="BQ50" s="153"/>
    </row>
    <row r="51" spans="1:69" ht="15.75" thickTop="1" thickBot="1" x14ac:dyDescent="0.25">
      <c r="C51" s="214"/>
      <c r="D51" s="370">
        <f>AVERAGE(D19:D30)</f>
        <v>-4.2814608493301734E-4</v>
      </c>
      <c r="E51" s="350">
        <f ca="1">'Résultats vs 2023'!I48-('Résultats vs 2023'!I48*D51)</f>
        <v>2.1348581050878614</v>
      </c>
      <c r="F51" s="347"/>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3"/>
      <c r="BQ51" s="153"/>
    </row>
    <row r="52" spans="1:69" x14ac:dyDescent="0.2">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53"/>
      <c r="BP52" s="153"/>
      <c r="BQ52" s="153"/>
    </row>
    <row r="53" spans="1:69" x14ac:dyDescent="0.2">
      <c r="A53" s="139"/>
      <c r="B53" s="139"/>
      <c r="C53" s="139"/>
      <c r="D53" s="139"/>
      <c r="E53" s="139"/>
      <c r="F53" s="139"/>
      <c r="G53" s="139"/>
      <c r="H53" s="139"/>
      <c r="I53" s="139"/>
      <c r="J53" s="139"/>
      <c r="K53" s="139"/>
      <c r="L53" s="139"/>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3"/>
    </row>
    <row r="54" spans="1:69" x14ac:dyDescent="0.2">
      <c r="A54" s="153"/>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53"/>
      <c r="AY54" s="153"/>
      <c r="AZ54" s="153"/>
      <c r="BA54" s="153"/>
      <c r="BB54" s="153"/>
      <c r="BC54" s="153"/>
      <c r="BD54" s="153"/>
      <c r="BE54" s="153"/>
      <c r="BF54" s="153"/>
      <c r="BG54" s="153"/>
      <c r="BH54" s="153"/>
      <c r="BI54" s="153"/>
      <c r="BJ54" s="153"/>
      <c r="BK54" s="153"/>
      <c r="BL54" s="153"/>
      <c r="BM54" s="153"/>
      <c r="BN54" s="153"/>
      <c r="BO54" s="153"/>
      <c r="BP54" s="153"/>
      <c r="BQ54" s="153"/>
    </row>
    <row r="55" spans="1:69" x14ac:dyDescent="0.2">
      <c r="A55" s="153"/>
      <c r="B55" s="153"/>
      <c r="C55" s="153"/>
      <c r="D55" s="236"/>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153"/>
      <c r="AP55" s="153"/>
      <c r="AQ55" s="153"/>
      <c r="AR55" s="153"/>
      <c r="AS55" s="153"/>
      <c r="AT55" s="153"/>
      <c r="AU55" s="153"/>
      <c r="AV55" s="153"/>
      <c r="AW55" s="153"/>
      <c r="AX55" s="153"/>
      <c r="AY55" s="153"/>
      <c r="AZ55" s="153"/>
      <c r="BA55" s="153"/>
      <c r="BB55" s="153"/>
      <c r="BC55" s="153"/>
      <c r="BD55" s="153"/>
      <c r="BE55" s="153"/>
      <c r="BF55" s="153"/>
      <c r="BG55" s="153"/>
      <c r="BH55" s="153"/>
      <c r="BI55" s="153"/>
      <c r="BJ55" s="153"/>
      <c r="BK55" s="153"/>
      <c r="BL55" s="153"/>
      <c r="BM55" s="153"/>
      <c r="BN55" s="153"/>
      <c r="BO55" s="153"/>
      <c r="BP55" s="153"/>
      <c r="BQ55" s="153"/>
    </row>
    <row r="56" spans="1:69" x14ac:dyDescent="0.2">
      <c r="A56" s="153"/>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153"/>
      <c r="AP56" s="153"/>
      <c r="AQ56" s="153"/>
      <c r="AR56" s="153"/>
      <c r="AS56" s="153"/>
      <c r="AT56" s="153"/>
      <c r="AU56" s="153"/>
      <c r="AV56" s="153"/>
      <c r="AW56" s="153"/>
      <c r="AX56" s="153"/>
      <c r="AY56" s="153"/>
      <c r="AZ56" s="153"/>
      <c r="BA56" s="153"/>
      <c r="BB56" s="153"/>
      <c r="BC56" s="153"/>
      <c r="BD56" s="153"/>
      <c r="BE56" s="153"/>
      <c r="BF56" s="153"/>
      <c r="BG56" s="153"/>
      <c r="BH56" s="153"/>
      <c r="BI56" s="153"/>
      <c r="BJ56" s="153"/>
      <c r="BK56" s="153"/>
      <c r="BL56" s="153"/>
      <c r="BM56" s="153"/>
      <c r="BN56" s="153"/>
      <c r="BO56" s="153"/>
      <c r="BP56" s="153"/>
      <c r="BQ56" s="153"/>
    </row>
    <row r="57" spans="1:69" x14ac:dyDescent="0.2">
      <c r="A57" s="153"/>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c r="AG57" s="153"/>
      <c r="AH57" s="153"/>
      <c r="AI57" s="153"/>
      <c r="AJ57" s="153"/>
      <c r="AK57" s="153"/>
      <c r="AL57" s="153"/>
      <c r="AM57" s="153"/>
      <c r="AN57" s="153"/>
      <c r="AO57" s="153"/>
      <c r="AP57" s="153"/>
      <c r="AQ57" s="153"/>
      <c r="AR57" s="153"/>
      <c r="AS57" s="153"/>
      <c r="AT57" s="153"/>
      <c r="AU57" s="153"/>
      <c r="AV57" s="153"/>
      <c r="AW57" s="153"/>
      <c r="AX57" s="153"/>
      <c r="AY57" s="153"/>
      <c r="AZ57" s="153"/>
      <c r="BA57" s="153"/>
      <c r="BB57" s="153"/>
      <c r="BC57" s="153"/>
      <c r="BD57" s="153"/>
      <c r="BE57" s="153"/>
      <c r="BF57" s="153"/>
      <c r="BG57" s="153"/>
      <c r="BH57" s="153"/>
      <c r="BI57" s="153"/>
      <c r="BJ57" s="153"/>
      <c r="BK57" s="153"/>
      <c r="BL57" s="153"/>
      <c r="BM57" s="153"/>
      <c r="BN57" s="153"/>
      <c r="BO57" s="153"/>
      <c r="BP57" s="153"/>
      <c r="BQ57" s="153"/>
    </row>
    <row r="58" spans="1:69" x14ac:dyDescent="0.2">
      <c r="A58" s="153"/>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M58" s="153"/>
      <c r="AN58" s="153"/>
      <c r="AO58" s="153"/>
      <c r="AP58" s="153"/>
      <c r="AQ58" s="153"/>
      <c r="AR58" s="153"/>
      <c r="AS58" s="153"/>
      <c r="AT58" s="153"/>
      <c r="AU58" s="153"/>
      <c r="AV58" s="153"/>
      <c r="AW58" s="153"/>
      <c r="AX58" s="153"/>
      <c r="AY58" s="153"/>
      <c r="AZ58" s="153"/>
      <c r="BA58" s="153"/>
      <c r="BB58" s="153"/>
      <c r="BC58" s="153"/>
      <c r="BD58" s="153"/>
      <c r="BE58" s="153"/>
      <c r="BF58" s="153"/>
      <c r="BG58" s="153"/>
      <c r="BH58" s="153"/>
      <c r="BI58" s="153"/>
      <c r="BJ58" s="153"/>
      <c r="BK58" s="153"/>
      <c r="BL58" s="153"/>
      <c r="BM58" s="153"/>
      <c r="BN58" s="153"/>
      <c r="BO58" s="153"/>
      <c r="BP58" s="153"/>
      <c r="BQ58" s="153"/>
    </row>
    <row r="59" spans="1:69" x14ac:dyDescent="0.2">
      <c r="A59" s="153"/>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3"/>
      <c r="AY59" s="153"/>
      <c r="AZ59" s="153"/>
      <c r="BA59" s="153"/>
      <c r="BB59" s="153"/>
      <c r="BC59" s="153"/>
      <c r="BD59" s="153"/>
      <c r="BE59" s="153"/>
      <c r="BF59" s="153"/>
      <c r="BG59" s="153"/>
      <c r="BH59" s="153"/>
      <c r="BI59" s="153"/>
      <c r="BJ59" s="153"/>
      <c r="BK59" s="153"/>
      <c r="BL59" s="153"/>
      <c r="BM59" s="153"/>
      <c r="BN59" s="153"/>
      <c r="BO59" s="153"/>
      <c r="BP59" s="153"/>
      <c r="BQ59" s="153"/>
    </row>
    <row r="60" spans="1:69" x14ac:dyDescent="0.2">
      <c r="A60" s="153"/>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153"/>
      <c r="AK60" s="153"/>
      <c r="AL60" s="153"/>
      <c r="AM60" s="153"/>
      <c r="AN60" s="153"/>
      <c r="AO60" s="153"/>
      <c r="AP60" s="153"/>
      <c r="AQ60" s="153"/>
      <c r="AR60" s="153"/>
      <c r="AS60" s="153"/>
      <c r="AT60" s="153"/>
      <c r="AU60" s="153"/>
      <c r="AV60" s="153"/>
      <c r="AW60" s="153"/>
      <c r="AX60" s="153"/>
      <c r="AY60" s="153"/>
      <c r="AZ60" s="153"/>
      <c r="BA60" s="153"/>
      <c r="BB60" s="153"/>
      <c r="BC60" s="153"/>
      <c r="BD60" s="153"/>
      <c r="BE60" s="153"/>
      <c r="BF60" s="153"/>
      <c r="BG60" s="153"/>
      <c r="BH60" s="153"/>
      <c r="BI60" s="153"/>
      <c r="BJ60" s="153"/>
      <c r="BK60" s="153"/>
      <c r="BL60" s="153"/>
      <c r="BM60" s="153"/>
      <c r="BN60" s="153"/>
      <c r="BO60" s="153"/>
      <c r="BP60" s="153"/>
      <c r="BQ60" s="153"/>
    </row>
    <row r="61" spans="1:69" x14ac:dyDescent="0.2">
      <c r="A61" s="153"/>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3"/>
      <c r="AZ61" s="153"/>
      <c r="BA61" s="153"/>
      <c r="BB61" s="153"/>
      <c r="BC61" s="153"/>
      <c r="BD61" s="153"/>
      <c r="BE61" s="153"/>
      <c r="BF61" s="153"/>
      <c r="BG61" s="153"/>
      <c r="BH61" s="153"/>
      <c r="BI61" s="153"/>
      <c r="BJ61" s="153"/>
      <c r="BK61" s="153"/>
      <c r="BL61" s="153"/>
      <c r="BM61" s="153"/>
      <c r="BN61" s="153"/>
      <c r="BO61" s="153"/>
      <c r="BP61" s="153"/>
      <c r="BQ61" s="153"/>
    </row>
    <row r="62" spans="1:69" x14ac:dyDescent="0.2">
      <c r="A62" s="153"/>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3"/>
      <c r="AY62" s="153"/>
      <c r="AZ62" s="153"/>
      <c r="BA62" s="153"/>
      <c r="BB62" s="153"/>
      <c r="BC62" s="153"/>
      <c r="BD62" s="153"/>
      <c r="BE62" s="153"/>
      <c r="BF62" s="153"/>
      <c r="BG62" s="153"/>
      <c r="BH62" s="153"/>
      <c r="BI62" s="153"/>
      <c r="BJ62" s="153"/>
      <c r="BK62" s="153"/>
      <c r="BL62" s="153"/>
      <c r="BM62" s="153"/>
      <c r="BN62" s="153"/>
      <c r="BO62" s="153"/>
      <c r="BP62" s="153"/>
      <c r="BQ62" s="153"/>
    </row>
    <row r="63" spans="1:69" x14ac:dyDescent="0.2">
      <c r="A63" s="153"/>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53"/>
      <c r="AY63" s="153"/>
      <c r="AZ63" s="153"/>
      <c r="BA63" s="153"/>
      <c r="BB63" s="153"/>
      <c r="BC63" s="153"/>
      <c r="BD63" s="153"/>
      <c r="BE63" s="153"/>
      <c r="BF63" s="153"/>
      <c r="BG63" s="153"/>
      <c r="BH63" s="153"/>
      <c r="BI63" s="153"/>
      <c r="BJ63" s="153"/>
      <c r="BK63" s="153"/>
      <c r="BL63" s="153"/>
      <c r="BM63" s="153"/>
      <c r="BN63" s="153"/>
      <c r="BO63" s="153"/>
      <c r="BP63" s="153"/>
      <c r="BQ63" s="153"/>
    </row>
    <row r="64" spans="1:69" x14ac:dyDescent="0.2">
      <c r="A64" s="153"/>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3"/>
      <c r="AY64" s="153"/>
      <c r="AZ64" s="153"/>
      <c r="BA64" s="153"/>
      <c r="BB64" s="153"/>
      <c r="BC64" s="153"/>
      <c r="BD64" s="153"/>
      <c r="BE64" s="153"/>
      <c r="BF64" s="153"/>
      <c r="BG64" s="153"/>
      <c r="BH64" s="153"/>
      <c r="BI64" s="153"/>
      <c r="BJ64" s="153"/>
      <c r="BK64" s="153"/>
      <c r="BL64" s="153"/>
      <c r="BM64" s="153"/>
      <c r="BN64" s="153"/>
      <c r="BO64" s="153"/>
      <c r="BP64" s="153"/>
      <c r="BQ64" s="153"/>
    </row>
    <row r="65" spans="1:69" x14ac:dyDescent="0.2">
      <c r="A65" s="153"/>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3"/>
      <c r="BC65" s="153"/>
      <c r="BD65" s="153"/>
      <c r="BE65" s="153"/>
      <c r="BF65" s="153"/>
      <c r="BG65" s="153"/>
      <c r="BH65" s="153"/>
      <c r="BI65" s="153"/>
      <c r="BJ65" s="153"/>
      <c r="BK65" s="153"/>
      <c r="BL65" s="153"/>
      <c r="BM65" s="153"/>
      <c r="BN65" s="153"/>
      <c r="BO65" s="153"/>
      <c r="BP65" s="153"/>
      <c r="BQ65" s="153"/>
    </row>
    <row r="66" spans="1:69" x14ac:dyDescent="0.2">
      <c r="A66" s="153"/>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c r="BB66" s="153"/>
      <c r="BC66" s="153"/>
      <c r="BD66" s="153"/>
      <c r="BE66" s="153"/>
      <c r="BF66" s="153"/>
      <c r="BG66" s="153"/>
      <c r="BH66" s="153"/>
      <c r="BI66" s="153"/>
      <c r="BJ66" s="153"/>
      <c r="BK66" s="153"/>
      <c r="BL66" s="153"/>
      <c r="BM66" s="153"/>
      <c r="BN66" s="153"/>
      <c r="BO66" s="153"/>
      <c r="BP66" s="153"/>
      <c r="BQ66" s="153"/>
    </row>
    <row r="67" spans="1:69" x14ac:dyDescent="0.2">
      <c r="A67" s="153"/>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3"/>
      <c r="AJ67" s="153"/>
      <c r="AK67" s="153"/>
      <c r="AL67" s="153"/>
      <c r="AM67" s="153"/>
      <c r="AN67" s="153"/>
      <c r="AO67" s="153"/>
      <c r="AP67" s="153"/>
      <c r="AQ67" s="153"/>
      <c r="AR67" s="153"/>
      <c r="AS67" s="153"/>
      <c r="AT67" s="153"/>
      <c r="AU67" s="153"/>
      <c r="AV67" s="153"/>
      <c r="AW67" s="153"/>
      <c r="AX67" s="153"/>
      <c r="AY67" s="153"/>
      <c r="AZ67" s="153"/>
      <c r="BA67" s="153"/>
      <c r="BB67" s="153"/>
      <c r="BC67" s="153"/>
      <c r="BD67" s="153"/>
      <c r="BE67" s="153"/>
      <c r="BF67" s="153"/>
      <c r="BG67" s="153"/>
      <c r="BH67" s="153"/>
      <c r="BI67" s="153"/>
      <c r="BJ67" s="153"/>
      <c r="BK67" s="153"/>
      <c r="BL67" s="153"/>
      <c r="BM67" s="153"/>
      <c r="BN67" s="153"/>
      <c r="BO67" s="153"/>
      <c r="BP67" s="153"/>
      <c r="BQ67" s="153"/>
    </row>
    <row r="68" spans="1:69" x14ac:dyDescent="0.2">
      <c r="A68" s="153"/>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53"/>
      <c r="AL68" s="153"/>
      <c r="AM68" s="153"/>
      <c r="AN68" s="153"/>
      <c r="AO68" s="153"/>
      <c r="AP68" s="153"/>
      <c r="AQ68" s="153"/>
      <c r="AR68" s="153"/>
      <c r="AS68" s="153"/>
      <c r="AT68" s="153"/>
      <c r="AU68" s="153"/>
      <c r="AV68" s="153"/>
      <c r="AW68" s="153"/>
      <c r="AX68" s="153"/>
      <c r="AY68" s="153"/>
      <c r="AZ68" s="153"/>
      <c r="BA68" s="153"/>
      <c r="BB68" s="153"/>
      <c r="BC68" s="153"/>
      <c r="BD68" s="153"/>
      <c r="BE68" s="153"/>
      <c r="BF68" s="153"/>
      <c r="BG68" s="153"/>
      <c r="BH68" s="153"/>
      <c r="BI68" s="153"/>
      <c r="BJ68" s="153"/>
      <c r="BK68" s="153"/>
      <c r="BL68" s="153"/>
      <c r="BM68" s="153"/>
      <c r="BN68" s="153"/>
      <c r="BO68" s="153"/>
      <c r="BP68" s="153"/>
      <c r="BQ68" s="153"/>
    </row>
    <row r="69" spans="1:69" x14ac:dyDescent="0.2">
      <c r="A69" s="153"/>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c r="AK69" s="153"/>
      <c r="AL69" s="153"/>
      <c r="AM69" s="153"/>
      <c r="AN69" s="153"/>
      <c r="AO69" s="153"/>
      <c r="AP69" s="153"/>
      <c r="AQ69" s="153"/>
      <c r="AR69" s="153"/>
      <c r="AS69" s="153"/>
      <c r="AT69" s="153"/>
      <c r="AU69" s="153"/>
      <c r="AV69" s="153"/>
      <c r="AW69" s="153"/>
      <c r="AX69" s="153"/>
      <c r="AY69" s="153"/>
      <c r="AZ69" s="153"/>
      <c r="BA69" s="153"/>
      <c r="BB69" s="153"/>
      <c r="BC69" s="153"/>
      <c r="BD69" s="153"/>
      <c r="BE69" s="153"/>
      <c r="BF69" s="153"/>
      <c r="BG69" s="153"/>
      <c r="BH69" s="153"/>
      <c r="BI69" s="153"/>
      <c r="BJ69" s="153"/>
      <c r="BK69" s="153"/>
      <c r="BL69" s="153"/>
      <c r="BM69" s="153"/>
      <c r="BN69" s="153"/>
      <c r="BO69" s="153"/>
      <c r="BP69" s="153"/>
      <c r="BQ69" s="153"/>
    </row>
    <row r="70" spans="1:69" x14ac:dyDescent="0.2">
      <c r="A70" s="153"/>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3"/>
      <c r="AY70" s="153"/>
      <c r="AZ70" s="153"/>
      <c r="BA70" s="153"/>
      <c r="BB70" s="153"/>
      <c r="BC70" s="153"/>
      <c r="BD70" s="153"/>
      <c r="BE70" s="153"/>
      <c r="BF70" s="153"/>
      <c r="BG70" s="153"/>
      <c r="BH70" s="153"/>
      <c r="BI70" s="153"/>
      <c r="BJ70" s="153"/>
      <c r="BK70" s="153"/>
      <c r="BL70" s="153"/>
      <c r="BM70" s="153"/>
      <c r="BN70" s="153"/>
      <c r="BO70" s="153"/>
      <c r="BP70" s="153"/>
      <c r="BQ70" s="153"/>
    </row>
    <row r="71" spans="1:69" x14ac:dyDescent="0.2">
      <c r="A71" s="153"/>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3"/>
      <c r="AY71" s="153"/>
      <c r="AZ71" s="153"/>
      <c r="BA71" s="153"/>
      <c r="BB71" s="153"/>
      <c r="BC71" s="153"/>
      <c r="BD71" s="153"/>
      <c r="BE71" s="153"/>
      <c r="BF71" s="153"/>
      <c r="BG71" s="153"/>
      <c r="BH71" s="153"/>
      <c r="BI71" s="153"/>
      <c r="BJ71" s="153"/>
      <c r="BK71" s="153"/>
      <c r="BL71" s="153"/>
      <c r="BM71" s="153"/>
      <c r="BN71" s="153"/>
      <c r="BO71" s="153"/>
      <c r="BP71" s="153"/>
      <c r="BQ71" s="153"/>
    </row>
    <row r="72" spans="1:69" x14ac:dyDescent="0.2">
      <c r="A72" s="153"/>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53"/>
      <c r="AY72" s="153"/>
      <c r="AZ72" s="153"/>
      <c r="BA72" s="153"/>
      <c r="BB72" s="153"/>
      <c r="BC72" s="153"/>
      <c r="BD72" s="153"/>
      <c r="BE72" s="153"/>
      <c r="BF72" s="153"/>
      <c r="BG72" s="153"/>
      <c r="BH72" s="153"/>
      <c r="BI72" s="153"/>
      <c r="BJ72" s="153"/>
      <c r="BK72" s="153"/>
      <c r="BL72" s="153"/>
      <c r="BM72" s="153"/>
      <c r="BN72" s="153"/>
      <c r="BO72" s="153"/>
      <c r="BP72" s="153"/>
      <c r="BQ72" s="153"/>
    </row>
    <row r="73" spans="1:69" x14ac:dyDescent="0.2">
      <c r="A73" s="153"/>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153"/>
      <c r="AP73" s="153"/>
      <c r="AQ73" s="153"/>
      <c r="AR73" s="153"/>
      <c r="AS73" s="153"/>
      <c r="AT73" s="153"/>
      <c r="AU73" s="153"/>
      <c r="AV73" s="153"/>
      <c r="AW73" s="153"/>
      <c r="AX73" s="153"/>
      <c r="AY73" s="153"/>
      <c r="AZ73" s="153"/>
      <c r="BA73" s="153"/>
      <c r="BB73" s="153"/>
      <c r="BC73" s="153"/>
      <c r="BD73" s="153"/>
      <c r="BE73" s="153"/>
      <c r="BF73" s="153"/>
      <c r="BG73" s="153"/>
      <c r="BH73" s="153"/>
      <c r="BI73" s="153"/>
      <c r="BJ73" s="153"/>
      <c r="BK73" s="153"/>
      <c r="BL73" s="153"/>
      <c r="BM73" s="153"/>
      <c r="BN73" s="153"/>
      <c r="BO73" s="153"/>
      <c r="BP73" s="153"/>
      <c r="BQ73" s="153"/>
    </row>
    <row r="74" spans="1:69" x14ac:dyDescent="0.2">
      <c r="A74" s="153"/>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53"/>
      <c r="AY74" s="153"/>
      <c r="AZ74" s="153"/>
      <c r="BA74" s="153"/>
      <c r="BB74" s="153"/>
      <c r="BC74" s="153"/>
      <c r="BD74" s="153"/>
      <c r="BE74" s="153"/>
      <c r="BF74" s="153"/>
      <c r="BG74" s="153"/>
      <c r="BH74" s="153"/>
      <c r="BI74" s="153"/>
      <c r="BJ74" s="153"/>
      <c r="BK74" s="153"/>
      <c r="BL74" s="153"/>
      <c r="BM74" s="153"/>
      <c r="BN74" s="153"/>
      <c r="BO74" s="153"/>
      <c r="BP74" s="153"/>
      <c r="BQ74" s="153"/>
    </row>
    <row r="75" spans="1:69" x14ac:dyDescent="0.2">
      <c r="A75" s="153"/>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153"/>
      <c r="AM75" s="153"/>
      <c r="AN75" s="153"/>
      <c r="AO75" s="153"/>
      <c r="AP75" s="153"/>
      <c r="AQ75" s="153"/>
      <c r="AR75" s="153"/>
      <c r="AS75" s="153"/>
      <c r="AT75" s="153"/>
      <c r="AU75" s="153"/>
      <c r="AV75" s="153"/>
      <c r="AW75" s="153"/>
      <c r="AX75" s="153"/>
      <c r="AY75" s="153"/>
      <c r="AZ75" s="153"/>
      <c r="BA75" s="153"/>
      <c r="BB75" s="153"/>
      <c r="BC75" s="153"/>
      <c r="BD75" s="153"/>
      <c r="BE75" s="153"/>
      <c r="BF75" s="153"/>
      <c r="BG75" s="153"/>
      <c r="BH75" s="153"/>
      <c r="BI75" s="153"/>
      <c r="BJ75" s="153"/>
      <c r="BK75" s="153"/>
      <c r="BL75" s="153"/>
      <c r="BM75" s="153"/>
      <c r="BN75" s="153"/>
      <c r="BO75" s="153"/>
      <c r="BP75" s="153"/>
      <c r="BQ75" s="153"/>
    </row>
    <row r="76" spans="1:69" x14ac:dyDescent="0.2">
      <c r="A76" s="153"/>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53"/>
      <c r="AY76" s="153"/>
      <c r="AZ76" s="153"/>
      <c r="BA76" s="153"/>
      <c r="BB76" s="153"/>
      <c r="BC76" s="153"/>
      <c r="BD76" s="153"/>
      <c r="BE76" s="153"/>
      <c r="BF76" s="153"/>
      <c r="BG76" s="153"/>
      <c r="BH76" s="153"/>
      <c r="BI76" s="153"/>
      <c r="BJ76" s="153"/>
      <c r="BK76" s="153"/>
      <c r="BL76" s="153"/>
      <c r="BM76" s="153"/>
      <c r="BN76" s="153"/>
      <c r="BO76" s="153"/>
      <c r="BP76" s="153"/>
      <c r="BQ76" s="153"/>
    </row>
    <row r="77" spans="1:69" x14ac:dyDescent="0.2">
      <c r="A77" s="153"/>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3"/>
      <c r="BC77" s="153"/>
      <c r="BD77" s="153"/>
      <c r="BE77" s="153"/>
      <c r="BF77" s="153"/>
      <c r="BG77" s="153"/>
      <c r="BH77" s="153"/>
      <c r="BI77" s="153"/>
      <c r="BJ77" s="153"/>
      <c r="BK77" s="153"/>
      <c r="BL77" s="153"/>
      <c r="BM77" s="153"/>
      <c r="BN77" s="153"/>
      <c r="BO77" s="153"/>
      <c r="BP77" s="153"/>
      <c r="BQ77" s="153"/>
    </row>
    <row r="78" spans="1:69" x14ac:dyDescent="0.2">
      <c r="A78" s="153"/>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53"/>
      <c r="AY78" s="153"/>
      <c r="AZ78" s="153"/>
      <c r="BA78" s="153"/>
      <c r="BB78" s="153"/>
      <c r="BC78" s="153"/>
      <c r="BD78" s="153"/>
      <c r="BE78" s="153"/>
      <c r="BF78" s="153"/>
      <c r="BG78" s="153"/>
      <c r="BH78" s="153"/>
      <c r="BI78" s="153"/>
      <c r="BJ78" s="153"/>
      <c r="BK78" s="153"/>
      <c r="BL78" s="153"/>
      <c r="BM78" s="153"/>
      <c r="BN78" s="153"/>
      <c r="BO78" s="153"/>
      <c r="BP78" s="153"/>
      <c r="BQ78" s="153"/>
    </row>
    <row r="79" spans="1:69" x14ac:dyDescent="0.2">
      <c r="A79" s="153"/>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c r="AK79" s="153"/>
      <c r="AL79" s="153"/>
      <c r="AM79" s="153"/>
      <c r="AN79" s="153"/>
      <c r="AO79" s="153"/>
      <c r="AP79" s="153"/>
      <c r="AQ79" s="153"/>
      <c r="AR79" s="153"/>
      <c r="AS79" s="153"/>
      <c r="AT79" s="153"/>
      <c r="AU79" s="153"/>
      <c r="AV79" s="153"/>
      <c r="AW79" s="153"/>
      <c r="AX79" s="153"/>
      <c r="AY79" s="153"/>
      <c r="AZ79" s="153"/>
      <c r="BA79" s="153"/>
      <c r="BB79" s="153"/>
      <c r="BC79" s="153"/>
      <c r="BD79" s="153"/>
      <c r="BE79" s="153"/>
      <c r="BF79" s="153"/>
      <c r="BG79" s="153"/>
      <c r="BH79" s="153"/>
      <c r="BI79" s="153"/>
      <c r="BJ79" s="153"/>
      <c r="BK79" s="153"/>
      <c r="BL79" s="153"/>
      <c r="BM79" s="153"/>
      <c r="BN79" s="153"/>
      <c r="BO79" s="153"/>
      <c r="BP79" s="153"/>
      <c r="BQ79" s="153"/>
    </row>
    <row r="80" spans="1:69" x14ac:dyDescent="0.2">
      <c r="A80" s="153"/>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3"/>
      <c r="AK80" s="153"/>
      <c r="AL80" s="153"/>
      <c r="AM80" s="153"/>
      <c r="AN80" s="153"/>
      <c r="AO80" s="153"/>
      <c r="AP80" s="153"/>
      <c r="AQ80" s="153"/>
      <c r="AR80" s="153"/>
      <c r="AS80" s="153"/>
      <c r="AT80" s="153"/>
      <c r="AU80" s="153"/>
      <c r="AV80" s="153"/>
      <c r="AW80" s="153"/>
      <c r="AX80" s="153"/>
      <c r="AY80" s="153"/>
      <c r="AZ80" s="153"/>
      <c r="BA80" s="153"/>
      <c r="BB80" s="153"/>
      <c r="BC80" s="153"/>
      <c r="BD80" s="153"/>
      <c r="BE80" s="153"/>
      <c r="BF80" s="153"/>
      <c r="BG80" s="153"/>
      <c r="BH80" s="153"/>
      <c r="BI80" s="153"/>
      <c r="BJ80" s="153"/>
      <c r="BK80" s="153"/>
      <c r="BL80" s="153"/>
      <c r="BM80" s="153"/>
      <c r="BN80" s="153"/>
      <c r="BO80" s="153"/>
      <c r="BP80" s="153"/>
      <c r="BQ80" s="153"/>
    </row>
    <row r="81" spans="1:69" x14ac:dyDescent="0.2">
      <c r="A81" s="153"/>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I81" s="153"/>
      <c r="AJ81" s="153"/>
      <c r="AK81" s="153"/>
      <c r="AL81" s="153"/>
      <c r="AM81" s="153"/>
      <c r="AN81" s="153"/>
      <c r="AO81" s="153"/>
      <c r="AP81" s="153"/>
      <c r="AQ81" s="153"/>
      <c r="AR81" s="153"/>
      <c r="AS81" s="153"/>
      <c r="AT81" s="153"/>
      <c r="AU81" s="153"/>
      <c r="AV81" s="153"/>
      <c r="AW81" s="153"/>
      <c r="AX81" s="153"/>
      <c r="AY81" s="153"/>
      <c r="AZ81" s="153"/>
      <c r="BA81" s="153"/>
      <c r="BB81" s="153"/>
      <c r="BC81" s="153"/>
      <c r="BD81" s="153"/>
      <c r="BE81" s="153"/>
      <c r="BF81" s="153"/>
      <c r="BG81" s="153"/>
      <c r="BH81" s="153"/>
      <c r="BI81" s="153"/>
      <c r="BJ81" s="153"/>
      <c r="BK81" s="153"/>
      <c r="BL81" s="153"/>
      <c r="BM81" s="153"/>
      <c r="BN81" s="153"/>
      <c r="BO81" s="153"/>
      <c r="BP81" s="153"/>
      <c r="BQ81" s="153"/>
    </row>
    <row r="82" spans="1:69" x14ac:dyDescent="0.2">
      <c r="A82" s="153"/>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c r="AJ82" s="153"/>
      <c r="AK82" s="153"/>
      <c r="AL82" s="153"/>
      <c r="AM82" s="153"/>
      <c r="AN82" s="153"/>
      <c r="AO82" s="153"/>
      <c r="AP82" s="153"/>
      <c r="AQ82" s="153"/>
      <c r="AR82" s="153"/>
      <c r="AS82" s="153"/>
      <c r="AT82" s="153"/>
      <c r="AU82" s="153"/>
      <c r="AV82" s="153"/>
      <c r="AW82" s="153"/>
      <c r="AX82" s="153"/>
      <c r="AY82" s="153"/>
      <c r="AZ82" s="153"/>
      <c r="BA82" s="153"/>
      <c r="BB82" s="153"/>
      <c r="BC82" s="153"/>
      <c r="BD82" s="153"/>
      <c r="BE82" s="153"/>
      <c r="BF82" s="153"/>
      <c r="BG82" s="153"/>
      <c r="BH82" s="153"/>
      <c r="BI82" s="153"/>
      <c r="BJ82" s="153"/>
      <c r="BK82" s="153"/>
      <c r="BL82" s="153"/>
      <c r="BM82" s="153"/>
      <c r="BN82" s="153"/>
      <c r="BO82" s="153"/>
      <c r="BP82" s="153"/>
      <c r="BQ82" s="153"/>
    </row>
    <row r="83" spans="1:69" x14ac:dyDescent="0.2">
      <c r="A83" s="153"/>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153"/>
      <c r="BA83" s="153"/>
      <c r="BB83" s="153"/>
      <c r="BC83" s="153"/>
      <c r="BD83" s="153"/>
      <c r="BE83" s="153"/>
      <c r="BF83" s="153"/>
      <c r="BG83" s="153"/>
      <c r="BH83" s="153"/>
      <c r="BI83" s="153"/>
      <c r="BJ83" s="153"/>
      <c r="BK83" s="153"/>
      <c r="BL83" s="153"/>
      <c r="BM83" s="153"/>
      <c r="BN83" s="153"/>
      <c r="BO83" s="153"/>
      <c r="BP83" s="153"/>
      <c r="BQ83" s="153"/>
    </row>
    <row r="84" spans="1:69" x14ac:dyDescent="0.2">
      <c r="A84" s="153"/>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153"/>
      <c r="AK84" s="153"/>
      <c r="AL84" s="153"/>
      <c r="AM84" s="153"/>
      <c r="AN84" s="153"/>
      <c r="AO84" s="153"/>
      <c r="AP84" s="153"/>
      <c r="AQ84" s="153"/>
      <c r="AR84" s="153"/>
      <c r="AS84" s="153"/>
      <c r="AT84" s="153"/>
      <c r="AU84" s="153"/>
      <c r="AV84" s="153"/>
      <c r="AW84" s="153"/>
      <c r="AX84" s="153"/>
      <c r="AY84" s="153"/>
      <c r="AZ84" s="153"/>
      <c r="BA84" s="153"/>
      <c r="BB84" s="153"/>
      <c r="BC84" s="153"/>
      <c r="BD84" s="153"/>
      <c r="BE84" s="153"/>
      <c r="BF84" s="153"/>
      <c r="BG84" s="153"/>
      <c r="BH84" s="153"/>
      <c r="BI84" s="153"/>
      <c r="BJ84" s="153"/>
      <c r="BK84" s="153"/>
      <c r="BL84" s="153"/>
      <c r="BM84" s="153"/>
      <c r="BN84" s="153"/>
      <c r="BO84" s="153"/>
      <c r="BP84" s="153"/>
      <c r="BQ84" s="153"/>
    </row>
    <row r="85" spans="1:69" x14ac:dyDescent="0.2">
      <c r="A85" s="153"/>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3"/>
      <c r="BF85" s="153"/>
      <c r="BG85" s="153"/>
      <c r="BH85" s="153"/>
      <c r="BI85" s="153"/>
      <c r="BJ85" s="153"/>
      <c r="BK85" s="153"/>
      <c r="BL85" s="153"/>
      <c r="BM85" s="153"/>
      <c r="BN85" s="153"/>
      <c r="BO85" s="153"/>
      <c r="BP85" s="153"/>
      <c r="BQ85" s="153"/>
    </row>
    <row r="86" spans="1:69" x14ac:dyDescent="0.2">
      <c r="A86" s="153"/>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c r="AJ86" s="153"/>
      <c r="AK86" s="153"/>
      <c r="AL86" s="153"/>
      <c r="AM86" s="153"/>
      <c r="AN86" s="153"/>
      <c r="AO86" s="153"/>
      <c r="AP86" s="153"/>
      <c r="AQ86" s="153"/>
      <c r="AR86" s="153"/>
      <c r="AS86" s="153"/>
      <c r="AT86" s="153"/>
      <c r="AU86" s="153"/>
      <c r="AV86" s="153"/>
      <c r="AW86" s="153"/>
      <c r="AX86" s="153"/>
      <c r="AY86" s="153"/>
      <c r="AZ86" s="153"/>
      <c r="BA86" s="153"/>
      <c r="BB86" s="153"/>
      <c r="BC86" s="153"/>
      <c r="BD86" s="153"/>
      <c r="BE86" s="153"/>
      <c r="BF86" s="153"/>
      <c r="BG86" s="153"/>
      <c r="BH86" s="153"/>
      <c r="BI86" s="153"/>
      <c r="BJ86" s="153"/>
      <c r="BK86" s="153"/>
      <c r="BL86" s="153"/>
      <c r="BM86" s="153"/>
      <c r="BN86" s="153"/>
      <c r="BO86" s="153"/>
      <c r="BP86" s="153"/>
      <c r="BQ86" s="153"/>
    </row>
    <row r="87" spans="1:69" x14ac:dyDescent="0.2">
      <c r="A87" s="153"/>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153"/>
      <c r="AD87" s="153"/>
      <c r="AE87" s="153"/>
      <c r="AF87" s="153"/>
      <c r="AG87" s="153"/>
      <c r="AH87" s="153"/>
      <c r="AI87" s="153"/>
      <c r="AJ87" s="153"/>
      <c r="AK87" s="153"/>
      <c r="AL87" s="153"/>
      <c r="AM87" s="153"/>
      <c r="AN87" s="153"/>
      <c r="AO87" s="153"/>
      <c r="AP87" s="153"/>
      <c r="AQ87" s="153"/>
      <c r="AR87" s="153"/>
      <c r="AS87" s="153"/>
      <c r="AT87" s="153"/>
      <c r="AU87" s="153"/>
      <c r="AV87" s="153"/>
      <c r="AW87" s="153"/>
      <c r="AX87" s="153"/>
      <c r="AY87" s="153"/>
      <c r="AZ87" s="153"/>
      <c r="BA87" s="153"/>
      <c r="BB87" s="153"/>
      <c r="BC87" s="153"/>
      <c r="BD87" s="153"/>
      <c r="BE87" s="153"/>
      <c r="BF87" s="153"/>
      <c r="BG87" s="153"/>
      <c r="BH87" s="153"/>
      <c r="BI87" s="153"/>
      <c r="BJ87" s="153"/>
      <c r="BK87" s="153"/>
      <c r="BL87" s="153"/>
      <c r="BM87" s="153"/>
      <c r="BN87" s="153"/>
      <c r="BO87" s="153"/>
      <c r="BP87" s="153"/>
      <c r="BQ87" s="153"/>
    </row>
    <row r="88" spans="1:69" x14ac:dyDescent="0.2">
      <c r="A88" s="153"/>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c r="AI88" s="153"/>
      <c r="AJ88" s="153"/>
      <c r="AK88" s="153"/>
      <c r="AL88" s="153"/>
      <c r="AM88" s="153"/>
      <c r="AN88" s="153"/>
      <c r="AO88" s="153"/>
      <c r="AP88" s="153"/>
      <c r="AQ88" s="153"/>
      <c r="AR88" s="153"/>
      <c r="AS88" s="153"/>
      <c r="AT88" s="153"/>
      <c r="AU88" s="153"/>
      <c r="AV88" s="153"/>
      <c r="AW88" s="153"/>
      <c r="AX88" s="153"/>
      <c r="AY88" s="153"/>
      <c r="AZ88" s="153"/>
      <c r="BA88" s="153"/>
      <c r="BB88" s="153"/>
      <c r="BC88" s="153"/>
      <c r="BD88" s="153"/>
      <c r="BE88" s="153"/>
      <c r="BF88" s="153"/>
      <c r="BG88" s="153"/>
      <c r="BH88" s="153"/>
      <c r="BI88" s="153"/>
      <c r="BJ88" s="153"/>
      <c r="BK88" s="153"/>
      <c r="BL88" s="153"/>
      <c r="BM88" s="153"/>
      <c r="BN88" s="153"/>
      <c r="BO88" s="153"/>
      <c r="BP88" s="153"/>
      <c r="BQ88" s="153"/>
    </row>
    <row r="89" spans="1:69" x14ac:dyDescent="0.2">
      <c r="A89" s="153"/>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c r="AI89" s="153"/>
      <c r="AJ89" s="153"/>
      <c r="AK89" s="153"/>
      <c r="AL89" s="153"/>
      <c r="AM89" s="153"/>
      <c r="AN89" s="153"/>
      <c r="AO89" s="153"/>
      <c r="AP89" s="153"/>
      <c r="AQ89" s="153"/>
      <c r="AR89" s="153"/>
      <c r="AS89" s="153"/>
      <c r="AT89" s="153"/>
      <c r="AU89" s="153"/>
      <c r="AV89" s="153"/>
      <c r="AW89" s="153"/>
      <c r="AX89" s="153"/>
      <c r="AY89" s="153"/>
      <c r="AZ89" s="153"/>
      <c r="BA89" s="153"/>
      <c r="BB89" s="153"/>
      <c r="BC89" s="153"/>
      <c r="BD89" s="153"/>
      <c r="BE89" s="153"/>
      <c r="BF89" s="153"/>
      <c r="BG89" s="153"/>
      <c r="BH89" s="153"/>
      <c r="BI89" s="153"/>
      <c r="BJ89" s="153"/>
      <c r="BK89" s="153"/>
      <c r="BL89" s="153"/>
      <c r="BM89" s="153"/>
      <c r="BN89" s="153"/>
      <c r="BO89" s="153"/>
      <c r="BP89" s="153"/>
      <c r="BQ89" s="153"/>
    </row>
    <row r="90" spans="1:69" x14ac:dyDescent="0.2">
      <c r="A90" s="153"/>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c r="AJ90" s="153"/>
      <c r="AK90" s="153"/>
      <c r="AL90" s="153"/>
      <c r="AM90" s="153"/>
      <c r="AN90" s="153"/>
      <c r="AO90" s="153"/>
      <c r="AP90" s="153"/>
      <c r="AQ90" s="153"/>
      <c r="AR90" s="153"/>
      <c r="AS90" s="153"/>
      <c r="AT90" s="153"/>
      <c r="AU90" s="153"/>
      <c r="AV90" s="153"/>
      <c r="AW90" s="153"/>
      <c r="AX90" s="153"/>
      <c r="AY90" s="153"/>
      <c r="AZ90" s="153"/>
      <c r="BA90" s="153"/>
      <c r="BB90" s="153"/>
      <c r="BC90" s="153"/>
      <c r="BD90" s="153"/>
      <c r="BE90" s="153"/>
      <c r="BF90" s="153"/>
      <c r="BG90" s="153"/>
      <c r="BH90" s="153"/>
      <c r="BI90" s="153"/>
      <c r="BJ90" s="153"/>
      <c r="BK90" s="153"/>
      <c r="BL90" s="153"/>
      <c r="BM90" s="153"/>
      <c r="BN90" s="153"/>
      <c r="BO90" s="153"/>
      <c r="BP90" s="153"/>
      <c r="BQ90" s="153"/>
    </row>
    <row r="91" spans="1:69" x14ac:dyDescent="0.2">
      <c r="A91" s="153"/>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c r="AA91" s="153"/>
      <c r="AB91" s="153"/>
      <c r="AC91" s="153"/>
      <c r="AD91" s="153"/>
      <c r="AE91" s="153"/>
      <c r="AF91" s="153"/>
      <c r="AG91" s="153"/>
      <c r="AH91" s="153"/>
      <c r="AI91" s="153"/>
      <c r="AJ91" s="153"/>
      <c r="AK91" s="153"/>
      <c r="AL91" s="153"/>
      <c r="AM91" s="153"/>
      <c r="AN91" s="153"/>
      <c r="AO91" s="153"/>
      <c r="AP91" s="153"/>
      <c r="AQ91" s="153"/>
      <c r="AR91" s="153"/>
      <c r="AS91" s="153"/>
      <c r="AT91" s="153"/>
      <c r="AU91" s="153"/>
      <c r="AV91" s="153"/>
      <c r="AW91" s="153"/>
      <c r="AX91" s="153"/>
      <c r="AY91" s="153"/>
      <c r="AZ91" s="153"/>
      <c r="BA91" s="153"/>
      <c r="BB91" s="153"/>
      <c r="BC91" s="153"/>
      <c r="BD91" s="153"/>
      <c r="BE91" s="153"/>
      <c r="BF91" s="153"/>
      <c r="BG91" s="153"/>
      <c r="BH91" s="153"/>
      <c r="BI91" s="153"/>
      <c r="BJ91" s="153"/>
      <c r="BK91" s="153"/>
      <c r="BL91" s="153"/>
      <c r="BM91" s="153"/>
      <c r="BN91" s="153"/>
      <c r="BO91" s="153"/>
      <c r="BP91" s="153"/>
      <c r="BQ91" s="153"/>
    </row>
    <row r="92" spans="1:69" x14ac:dyDescent="0.2">
      <c r="A92" s="153"/>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c r="AA92" s="153"/>
      <c r="AB92" s="153"/>
      <c r="AC92" s="153"/>
      <c r="AD92" s="153"/>
      <c r="AE92" s="153"/>
      <c r="AF92" s="153"/>
      <c r="AG92" s="153"/>
      <c r="AH92" s="153"/>
      <c r="AI92" s="153"/>
      <c r="AJ92" s="153"/>
      <c r="AK92" s="153"/>
      <c r="AL92" s="153"/>
      <c r="AM92" s="153"/>
      <c r="AN92" s="153"/>
      <c r="AO92" s="153"/>
      <c r="AP92" s="153"/>
      <c r="AQ92" s="153"/>
      <c r="AR92" s="153"/>
      <c r="AS92" s="153"/>
      <c r="AT92" s="153"/>
      <c r="AU92" s="153"/>
      <c r="AV92" s="153"/>
      <c r="AW92" s="153"/>
      <c r="AX92" s="153"/>
      <c r="AY92" s="153"/>
      <c r="AZ92" s="153"/>
      <c r="BA92" s="153"/>
      <c r="BB92" s="153"/>
      <c r="BC92" s="153"/>
      <c r="BD92" s="153"/>
      <c r="BE92" s="153"/>
      <c r="BF92" s="153"/>
      <c r="BG92" s="153"/>
      <c r="BH92" s="153"/>
      <c r="BI92" s="153"/>
      <c r="BJ92" s="153"/>
      <c r="BK92" s="153"/>
      <c r="BL92" s="153"/>
      <c r="BM92" s="153"/>
      <c r="BN92" s="153"/>
      <c r="BO92" s="153"/>
      <c r="BP92" s="153"/>
      <c r="BQ92" s="153"/>
    </row>
    <row r="93" spans="1:69" x14ac:dyDescent="0.2">
      <c r="A93" s="153"/>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153"/>
      <c r="AC93" s="153"/>
      <c r="AD93" s="153"/>
      <c r="AE93" s="153"/>
      <c r="AF93" s="153"/>
      <c r="AG93" s="153"/>
      <c r="AH93" s="153"/>
      <c r="AI93" s="153"/>
      <c r="AJ93" s="153"/>
      <c r="AK93" s="153"/>
      <c r="AL93" s="153"/>
      <c r="AM93" s="153"/>
      <c r="AN93" s="153"/>
      <c r="AO93" s="153"/>
      <c r="AP93" s="153"/>
      <c r="AQ93" s="153"/>
      <c r="AR93" s="153"/>
      <c r="AS93" s="153"/>
      <c r="AT93" s="153"/>
      <c r="AU93" s="153"/>
      <c r="AV93" s="153"/>
      <c r="AW93" s="153"/>
      <c r="AX93" s="153"/>
      <c r="AY93" s="153"/>
      <c r="AZ93" s="153"/>
      <c r="BA93" s="153"/>
      <c r="BB93" s="153"/>
      <c r="BC93" s="153"/>
      <c r="BD93" s="153"/>
      <c r="BE93" s="153"/>
      <c r="BF93" s="153"/>
      <c r="BG93" s="153"/>
      <c r="BH93" s="153"/>
      <c r="BI93" s="153"/>
      <c r="BJ93" s="153"/>
      <c r="BK93" s="153"/>
      <c r="BL93" s="153"/>
      <c r="BM93" s="153"/>
      <c r="BN93" s="153"/>
      <c r="BO93" s="153"/>
      <c r="BP93" s="153"/>
      <c r="BQ93" s="153"/>
    </row>
    <row r="94" spans="1:69" x14ac:dyDescent="0.2">
      <c r="A94" s="153"/>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c r="AA94" s="153"/>
      <c r="AB94" s="153"/>
      <c r="AC94" s="153"/>
      <c r="AD94" s="153"/>
      <c r="AE94" s="153"/>
      <c r="AF94" s="153"/>
      <c r="AG94" s="153"/>
      <c r="AH94" s="153"/>
      <c r="AI94" s="153"/>
      <c r="AJ94" s="153"/>
      <c r="AK94" s="153"/>
      <c r="AL94" s="153"/>
      <c r="AM94" s="153"/>
      <c r="AN94" s="153"/>
      <c r="AO94" s="153"/>
      <c r="AP94" s="153"/>
      <c r="AQ94" s="153"/>
      <c r="AR94" s="153"/>
      <c r="AS94" s="153"/>
      <c r="AT94" s="153"/>
      <c r="AU94" s="153"/>
      <c r="AV94" s="153"/>
      <c r="AW94" s="153"/>
      <c r="AX94" s="153"/>
      <c r="AY94" s="153"/>
      <c r="AZ94" s="153"/>
      <c r="BA94" s="153"/>
      <c r="BB94" s="153"/>
      <c r="BC94" s="153"/>
      <c r="BD94" s="153"/>
      <c r="BE94" s="153"/>
      <c r="BF94" s="153"/>
      <c r="BG94" s="153"/>
      <c r="BH94" s="153"/>
      <c r="BI94" s="153"/>
      <c r="BJ94" s="153"/>
      <c r="BK94" s="153"/>
      <c r="BL94" s="153"/>
      <c r="BM94" s="153"/>
      <c r="BN94" s="153"/>
      <c r="BO94" s="153"/>
      <c r="BP94" s="153"/>
      <c r="BQ94" s="153"/>
    </row>
    <row r="95" spans="1:69" x14ac:dyDescent="0.2">
      <c r="A95" s="153"/>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E95" s="153"/>
      <c r="AF95" s="153"/>
      <c r="AG95" s="153"/>
      <c r="AH95" s="153"/>
      <c r="AI95" s="153"/>
      <c r="AJ95" s="153"/>
      <c r="AK95" s="153"/>
      <c r="AL95" s="153"/>
      <c r="AM95" s="153"/>
      <c r="AN95" s="153"/>
      <c r="AO95" s="153"/>
      <c r="AP95" s="153"/>
      <c r="AQ95" s="153"/>
      <c r="AR95" s="153"/>
      <c r="AS95" s="153"/>
      <c r="AT95" s="153"/>
      <c r="AU95" s="153"/>
      <c r="AV95" s="153"/>
      <c r="AW95" s="153"/>
      <c r="AX95" s="153"/>
      <c r="AY95" s="153"/>
      <c r="AZ95" s="153"/>
      <c r="BA95" s="153"/>
      <c r="BB95" s="153"/>
      <c r="BC95" s="153"/>
      <c r="BD95" s="153"/>
      <c r="BE95" s="153"/>
      <c r="BF95" s="153"/>
      <c r="BG95" s="153"/>
      <c r="BH95" s="153"/>
      <c r="BI95" s="153"/>
      <c r="BJ95" s="153"/>
      <c r="BK95" s="153"/>
      <c r="BL95" s="153"/>
      <c r="BM95" s="153"/>
      <c r="BN95" s="153"/>
      <c r="BO95" s="153"/>
      <c r="BP95" s="153"/>
      <c r="BQ95" s="153"/>
    </row>
    <row r="96" spans="1:69" x14ac:dyDescent="0.2">
      <c r="A96" s="153"/>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153"/>
      <c r="AI96" s="153"/>
      <c r="AJ96" s="153"/>
      <c r="AK96" s="153"/>
      <c r="AL96" s="153"/>
      <c r="AM96" s="153"/>
      <c r="AN96" s="153"/>
      <c r="AO96" s="153"/>
      <c r="AP96" s="153"/>
      <c r="AQ96" s="153"/>
      <c r="AR96" s="153"/>
      <c r="AS96" s="153"/>
      <c r="AT96" s="153"/>
      <c r="AU96" s="153"/>
      <c r="AV96" s="153"/>
      <c r="AW96" s="153"/>
      <c r="AX96" s="153"/>
      <c r="AY96" s="153"/>
      <c r="AZ96" s="153"/>
      <c r="BA96" s="153"/>
      <c r="BB96" s="153"/>
      <c r="BC96" s="153"/>
      <c r="BD96" s="153"/>
      <c r="BE96" s="153"/>
      <c r="BF96" s="153"/>
      <c r="BG96" s="153"/>
      <c r="BH96" s="153"/>
      <c r="BI96" s="153"/>
      <c r="BJ96" s="153"/>
      <c r="BK96" s="153"/>
      <c r="BL96" s="153"/>
      <c r="BM96" s="153"/>
      <c r="BN96" s="153"/>
      <c r="BO96" s="153"/>
      <c r="BP96" s="153"/>
      <c r="BQ96" s="153"/>
    </row>
    <row r="97" spans="1:69" x14ac:dyDescent="0.2">
      <c r="A97" s="153"/>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c r="AE97" s="153"/>
      <c r="AF97" s="153"/>
      <c r="AG97" s="153"/>
      <c r="AH97" s="153"/>
      <c r="AI97" s="153"/>
      <c r="AJ97" s="153"/>
      <c r="AK97" s="153"/>
      <c r="AL97" s="153"/>
      <c r="AM97" s="153"/>
      <c r="AN97" s="153"/>
      <c r="AO97" s="153"/>
      <c r="AP97" s="153"/>
      <c r="AQ97" s="153"/>
      <c r="AR97" s="153"/>
      <c r="AS97" s="153"/>
      <c r="AT97" s="153"/>
      <c r="AU97" s="153"/>
      <c r="AV97" s="153"/>
      <c r="AW97" s="153"/>
      <c r="AX97" s="153"/>
      <c r="AY97" s="153"/>
      <c r="AZ97" s="153"/>
      <c r="BA97" s="153"/>
      <c r="BB97" s="153"/>
      <c r="BC97" s="153"/>
      <c r="BD97" s="153"/>
      <c r="BE97" s="153"/>
      <c r="BF97" s="153"/>
      <c r="BG97" s="153"/>
      <c r="BH97" s="153"/>
      <c r="BI97" s="153"/>
      <c r="BJ97" s="153"/>
      <c r="BK97" s="153"/>
      <c r="BL97" s="153"/>
      <c r="BM97" s="153"/>
      <c r="BN97" s="153"/>
      <c r="BO97" s="153"/>
      <c r="BP97" s="153"/>
      <c r="BQ97" s="153"/>
    </row>
    <row r="98" spans="1:69" x14ac:dyDescent="0.2">
      <c r="A98" s="153"/>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c r="AE98" s="153"/>
      <c r="AF98" s="153"/>
      <c r="AG98" s="153"/>
      <c r="AH98" s="153"/>
      <c r="AI98" s="153"/>
      <c r="AJ98" s="153"/>
      <c r="AK98" s="153"/>
      <c r="AL98" s="153"/>
      <c r="AM98" s="153"/>
      <c r="AN98" s="153"/>
      <c r="AO98" s="153"/>
      <c r="AP98" s="153"/>
      <c r="AQ98" s="153"/>
      <c r="AR98" s="153"/>
      <c r="AS98" s="153"/>
      <c r="AT98" s="153"/>
      <c r="AU98" s="153"/>
      <c r="AV98" s="153"/>
      <c r="AW98" s="153"/>
      <c r="AX98" s="153"/>
      <c r="AY98" s="153"/>
      <c r="AZ98" s="153"/>
      <c r="BA98" s="153"/>
      <c r="BB98" s="153"/>
      <c r="BC98" s="153"/>
      <c r="BD98" s="153"/>
      <c r="BE98" s="153"/>
      <c r="BF98" s="153"/>
      <c r="BG98" s="153"/>
      <c r="BH98" s="153"/>
      <c r="BI98" s="153"/>
      <c r="BJ98" s="153"/>
      <c r="BK98" s="153"/>
      <c r="BL98" s="153"/>
      <c r="BM98" s="153"/>
      <c r="BN98" s="153"/>
      <c r="BO98" s="153"/>
      <c r="BP98" s="153"/>
      <c r="BQ98" s="153"/>
    </row>
    <row r="99" spans="1:69" x14ac:dyDescent="0.2">
      <c r="A99" s="153"/>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c r="AA99" s="153"/>
      <c r="AB99" s="153"/>
      <c r="AC99" s="153"/>
      <c r="AD99" s="153"/>
      <c r="AE99" s="153"/>
      <c r="AF99" s="153"/>
      <c r="AG99" s="153"/>
      <c r="AH99" s="153"/>
      <c r="AI99" s="153"/>
      <c r="AJ99" s="153"/>
      <c r="AK99" s="153"/>
      <c r="AL99" s="153"/>
      <c r="AM99" s="153"/>
      <c r="AN99" s="153"/>
      <c r="AO99" s="153"/>
      <c r="AP99" s="153"/>
      <c r="AQ99" s="153"/>
      <c r="AR99" s="153"/>
      <c r="AS99" s="153"/>
      <c r="AT99" s="153"/>
      <c r="AU99" s="153"/>
      <c r="AV99" s="153"/>
      <c r="AW99" s="153"/>
      <c r="AX99" s="153"/>
      <c r="AY99" s="153"/>
      <c r="AZ99" s="153"/>
      <c r="BA99" s="153"/>
      <c r="BB99" s="153"/>
      <c r="BC99" s="153"/>
      <c r="BD99" s="153"/>
      <c r="BE99" s="153"/>
      <c r="BF99" s="153"/>
      <c r="BG99" s="153"/>
      <c r="BH99" s="153"/>
      <c r="BI99" s="153"/>
      <c r="BJ99" s="153"/>
      <c r="BK99" s="153"/>
      <c r="BL99" s="153"/>
      <c r="BM99" s="153"/>
      <c r="BN99" s="153"/>
      <c r="BO99" s="153"/>
      <c r="BP99" s="153"/>
      <c r="BQ99" s="153"/>
    </row>
    <row r="100" spans="1:69" x14ac:dyDescent="0.2">
      <c r="A100" s="153"/>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E100" s="153"/>
      <c r="AF100" s="153"/>
      <c r="AG100" s="153"/>
      <c r="AH100" s="153"/>
      <c r="AI100" s="153"/>
      <c r="AJ100" s="153"/>
      <c r="AK100" s="153"/>
      <c r="AL100" s="153"/>
      <c r="AM100" s="153"/>
      <c r="AN100" s="153"/>
      <c r="AO100" s="153"/>
      <c r="AP100" s="153"/>
      <c r="AQ100" s="153"/>
      <c r="AR100" s="153"/>
      <c r="AS100" s="153"/>
      <c r="AT100" s="153"/>
      <c r="AU100" s="153"/>
      <c r="AV100" s="153"/>
      <c r="AW100" s="153"/>
      <c r="AX100" s="153"/>
      <c r="AY100" s="153"/>
      <c r="AZ100" s="153"/>
      <c r="BA100" s="153"/>
      <c r="BB100" s="153"/>
      <c r="BC100" s="153"/>
      <c r="BD100" s="153"/>
      <c r="BE100" s="153"/>
      <c r="BF100" s="153"/>
      <c r="BG100" s="153"/>
      <c r="BH100" s="153"/>
      <c r="BI100" s="153"/>
      <c r="BJ100" s="153"/>
      <c r="BK100" s="153"/>
      <c r="BL100" s="153"/>
      <c r="BM100" s="153"/>
      <c r="BN100" s="153"/>
      <c r="BO100" s="153"/>
      <c r="BP100" s="153"/>
      <c r="BQ100" s="153"/>
    </row>
    <row r="101" spans="1:69" x14ac:dyDescent="0.2">
      <c r="A101" s="153"/>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153"/>
      <c r="AM101" s="153"/>
      <c r="AN101" s="153"/>
      <c r="AO101" s="153"/>
      <c r="AP101" s="153"/>
      <c r="AQ101" s="153"/>
      <c r="AR101" s="153"/>
      <c r="AS101" s="153"/>
      <c r="AT101" s="153"/>
      <c r="AU101" s="153"/>
      <c r="AV101" s="153"/>
      <c r="AW101" s="153"/>
      <c r="AX101" s="153"/>
      <c r="AY101" s="153"/>
      <c r="AZ101" s="153"/>
      <c r="BA101" s="153"/>
      <c r="BB101" s="153"/>
      <c r="BC101" s="153"/>
      <c r="BD101" s="153"/>
      <c r="BE101" s="153"/>
      <c r="BF101" s="153"/>
      <c r="BG101" s="153"/>
      <c r="BH101" s="153"/>
      <c r="BI101" s="153"/>
      <c r="BJ101" s="153"/>
      <c r="BK101" s="153"/>
      <c r="BL101" s="153"/>
      <c r="BM101" s="153"/>
      <c r="BN101" s="153"/>
      <c r="BO101" s="153"/>
      <c r="BP101" s="153"/>
      <c r="BQ101" s="153"/>
    </row>
    <row r="102" spans="1:69" x14ac:dyDescent="0.2">
      <c r="A102" s="153"/>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3"/>
      <c r="AZ102" s="153"/>
      <c r="BA102" s="153"/>
      <c r="BB102" s="153"/>
      <c r="BC102" s="153"/>
      <c r="BD102" s="153"/>
      <c r="BE102" s="153"/>
      <c r="BF102" s="153"/>
      <c r="BG102" s="153"/>
      <c r="BH102" s="153"/>
      <c r="BI102" s="153"/>
      <c r="BJ102" s="153"/>
      <c r="BK102" s="153"/>
      <c r="BL102" s="153"/>
      <c r="BM102" s="153"/>
      <c r="BN102" s="153"/>
      <c r="BO102" s="153"/>
      <c r="BP102" s="153"/>
      <c r="BQ102" s="153"/>
    </row>
    <row r="103" spans="1:69" x14ac:dyDescent="0.2">
      <c r="A103" s="153"/>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c r="AA103" s="153"/>
      <c r="AB103" s="153"/>
      <c r="AC103" s="153"/>
      <c r="AD103" s="153"/>
      <c r="AE103" s="153"/>
      <c r="AF103" s="153"/>
      <c r="AG103" s="153"/>
      <c r="AH103" s="153"/>
      <c r="AI103" s="153"/>
      <c r="AJ103" s="153"/>
      <c r="AK103" s="153"/>
      <c r="AL103" s="153"/>
      <c r="AM103" s="153"/>
      <c r="AN103" s="153"/>
      <c r="AO103" s="153"/>
      <c r="AP103" s="153"/>
      <c r="AQ103" s="153"/>
      <c r="AR103" s="153"/>
      <c r="AS103" s="153"/>
      <c r="AT103" s="153"/>
      <c r="AU103" s="153"/>
      <c r="AV103" s="153"/>
      <c r="AW103" s="153"/>
      <c r="AX103" s="153"/>
      <c r="AY103" s="153"/>
      <c r="AZ103" s="153"/>
      <c r="BA103" s="153"/>
      <c r="BB103" s="153"/>
      <c r="BC103" s="153"/>
      <c r="BD103" s="153"/>
      <c r="BE103" s="153"/>
      <c r="BF103" s="153"/>
      <c r="BG103" s="153"/>
      <c r="BH103" s="153"/>
      <c r="BI103" s="153"/>
      <c r="BJ103" s="153"/>
      <c r="BK103" s="153"/>
      <c r="BL103" s="153"/>
      <c r="BM103" s="153"/>
      <c r="BN103" s="153"/>
      <c r="BO103" s="153"/>
      <c r="BP103" s="153"/>
      <c r="BQ103" s="153"/>
    </row>
    <row r="104" spans="1:69" x14ac:dyDescent="0.2">
      <c r="A104" s="153"/>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153"/>
      <c r="AY104" s="153"/>
      <c r="AZ104" s="153"/>
      <c r="BA104" s="153"/>
      <c r="BB104" s="153"/>
      <c r="BC104" s="153"/>
      <c r="BD104" s="153"/>
      <c r="BE104" s="153"/>
      <c r="BF104" s="153"/>
      <c r="BG104" s="153"/>
      <c r="BH104" s="153"/>
      <c r="BI104" s="153"/>
      <c r="BJ104" s="153"/>
      <c r="BK104" s="153"/>
      <c r="BL104" s="153"/>
      <c r="BM104" s="153"/>
      <c r="BN104" s="153"/>
      <c r="BO104" s="153"/>
      <c r="BP104" s="153"/>
      <c r="BQ104" s="153"/>
    </row>
    <row r="105" spans="1:69" x14ac:dyDescent="0.2">
      <c r="A105" s="153"/>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153"/>
      <c r="AK105" s="153"/>
      <c r="AL105" s="153"/>
      <c r="AM105" s="153"/>
      <c r="AN105" s="153"/>
      <c r="AO105" s="153"/>
      <c r="AP105" s="153"/>
      <c r="AQ105" s="153"/>
      <c r="AR105" s="153"/>
      <c r="AS105" s="153"/>
      <c r="AT105" s="153"/>
      <c r="AU105" s="153"/>
      <c r="AV105" s="153"/>
      <c r="AW105" s="153"/>
      <c r="AX105" s="153"/>
      <c r="AY105" s="153"/>
      <c r="AZ105" s="153"/>
      <c r="BA105" s="153"/>
      <c r="BB105" s="153"/>
      <c r="BC105" s="153"/>
      <c r="BD105" s="153"/>
      <c r="BE105" s="153"/>
      <c r="BF105" s="153"/>
      <c r="BG105" s="153"/>
      <c r="BH105" s="153"/>
      <c r="BI105" s="153"/>
      <c r="BJ105" s="153"/>
      <c r="BK105" s="153"/>
      <c r="BL105" s="153"/>
      <c r="BM105" s="153"/>
      <c r="BN105" s="153"/>
      <c r="BO105" s="153"/>
      <c r="BP105" s="153"/>
      <c r="BQ105" s="153"/>
    </row>
    <row r="106" spans="1:69" x14ac:dyDescent="0.2">
      <c r="A106" s="153"/>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c r="AG106" s="153"/>
      <c r="AH106" s="153"/>
      <c r="AI106" s="153"/>
      <c r="AJ106" s="153"/>
      <c r="AK106" s="153"/>
      <c r="AL106" s="153"/>
      <c r="AM106" s="153"/>
      <c r="AN106" s="153"/>
      <c r="AO106" s="153"/>
      <c r="AP106" s="153"/>
      <c r="AQ106" s="153"/>
      <c r="AR106" s="153"/>
      <c r="AS106" s="153"/>
      <c r="AT106" s="153"/>
      <c r="AU106" s="153"/>
      <c r="AV106" s="153"/>
      <c r="AW106" s="153"/>
      <c r="AX106" s="153"/>
      <c r="AY106" s="153"/>
      <c r="AZ106" s="153"/>
      <c r="BA106" s="153"/>
      <c r="BB106" s="153"/>
      <c r="BC106" s="153"/>
      <c r="BD106" s="153"/>
      <c r="BE106" s="153"/>
      <c r="BF106" s="153"/>
      <c r="BG106" s="153"/>
      <c r="BH106" s="153"/>
      <c r="BI106" s="153"/>
      <c r="BJ106" s="153"/>
      <c r="BK106" s="153"/>
      <c r="BL106" s="153"/>
      <c r="BM106" s="153"/>
      <c r="BN106" s="153"/>
      <c r="BO106" s="153"/>
      <c r="BP106" s="153"/>
      <c r="BQ106" s="153"/>
    </row>
    <row r="107" spans="1:69" x14ac:dyDescent="0.2">
      <c r="A107" s="153"/>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c r="AA107" s="153"/>
      <c r="AB107" s="153"/>
      <c r="AC107" s="153"/>
      <c r="AD107" s="153"/>
      <c r="AE107" s="153"/>
      <c r="AF107" s="153"/>
      <c r="AG107" s="153"/>
      <c r="AH107" s="153"/>
      <c r="AI107" s="153"/>
      <c r="AJ107" s="153"/>
      <c r="AK107" s="153"/>
      <c r="AL107" s="153"/>
      <c r="AM107" s="153"/>
      <c r="AN107" s="153"/>
      <c r="AO107" s="153"/>
      <c r="AP107" s="153"/>
      <c r="AQ107" s="153"/>
      <c r="AR107" s="153"/>
      <c r="AS107" s="153"/>
      <c r="AT107" s="153"/>
      <c r="AU107" s="153"/>
      <c r="AV107" s="153"/>
      <c r="AW107" s="153"/>
      <c r="AX107" s="153"/>
      <c r="AY107" s="153"/>
      <c r="AZ107" s="153"/>
      <c r="BA107" s="153"/>
      <c r="BB107" s="153"/>
      <c r="BC107" s="153"/>
      <c r="BD107" s="153"/>
      <c r="BE107" s="153"/>
      <c r="BF107" s="153"/>
      <c r="BG107" s="153"/>
      <c r="BH107" s="153"/>
      <c r="BI107" s="153"/>
      <c r="BJ107" s="153"/>
      <c r="BK107" s="153"/>
      <c r="BL107" s="153"/>
      <c r="BM107" s="153"/>
      <c r="BN107" s="153"/>
      <c r="BO107" s="153"/>
      <c r="BP107" s="153"/>
      <c r="BQ107" s="153"/>
    </row>
    <row r="108" spans="1:69" x14ac:dyDescent="0.2">
      <c r="A108" s="153"/>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c r="AA108" s="153"/>
      <c r="AB108" s="153"/>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3"/>
      <c r="BA108" s="153"/>
      <c r="BB108" s="153"/>
      <c r="BC108" s="153"/>
      <c r="BD108" s="153"/>
      <c r="BE108" s="153"/>
      <c r="BF108" s="153"/>
      <c r="BG108" s="153"/>
      <c r="BH108" s="153"/>
      <c r="BI108" s="153"/>
      <c r="BJ108" s="153"/>
      <c r="BK108" s="153"/>
      <c r="BL108" s="153"/>
      <c r="BM108" s="153"/>
      <c r="BN108" s="153"/>
      <c r="BO108" s="153"/>
      <c r="BP108" s="153"/>
      <c r="BQ108" s="153"/>
    </row>
    <row r="109" spans="1:69" x14ac:dyDescent="0.2">
      <c r="A109" s="153"/>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153"/>
      <c r="BC109" s="153"/>
      <c r="BD109" s="153"/>
      <c r="BE109" s="153"/>
      <c r="BF109" s="153"/>
      <c r="BG109" s="153"/>
      <c r="BH109" s="153"/>
      <c r="BI109" s="153"/>
      <c r="BJ109" s="153"/>
      <c r="BK109" s="153"/>
      <c r="BL109" s="153"/>
      <c r="BM109" s="153"/>
      <c r="BN109" s="153"/>
      <c r="BO109" s="153"/>
      <c r="BP109" s="153"/>
      <c r="BQ109" s="153"/>
    </row>
    <row r="110" spans="1:69" x14ac:dyDescent="0.2">
      <c r="A110" s="153"/>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c r="AA110" s="153"/>
      <c r="AB110" s="153"/>
      <c r="AC110" s="153"/>
      <c r="AD110" s="153"/>
      <c r="AE110" s="153"/>
      <c r="AF110" s="153"/>
      <c r="AG110" s="153"/>
      <c r="AH110" s="153"/>
      <c r="AI110" s="153"/>
      <c r="AJ110" s="153"/>
      <c r="AK110" s="153"/>
      <c r="AL110" s="153"/>
      <c r="AM110" s="153"/>
      <c r="AN110" s="153"/>
      <c r="AO110" s="153"/>
      <c r="AP110" s="153"/>
      <c r="AQ110" s="153"/>
      <c r="AR110" s="153"/>
      <c r="AS110" s="153"/>
      <c r="AT110" s="153"/>
      <c r="AU110" s="153"/>
      <c r="AV110" s="153"/>
      <c r="AW110" s="153"/>
      <c r="AX110" s="153"/>
      <c r="AY110" s="153"/>
      <c r="AZ110" s="153"/>
      <c r="BA110" s="153"/>
      <c r="BB110" s="153"/>
      <c r="BC110" s="153"/>
      <c r="BD110" s="153"/>
      <c r="BE110" s="153"/>
      <c r="BF110" s="153"/>
      <c r="BG110" s="153"/>
      <c r="BH110" s="153"/>
      <c r="BI110" s="153"/>
      <c r="BJ110" s="153"/>
      <c r="BK110" s="153"/>
      <c r="BL110" s="153"/>
      <c r="BM110" s="153"/>
      <c r="BN110" s="153"/>
      <c r="BO110" s="153"/>
      <c r="BP110" s="153"/>
      <c r="BQ110" s="153"/>
    </row>
    <row r="111" spans="1:69" x14ac:dyDescent="0.2">
      <c r="A111" s="153"/>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c r="AG111" s="153"/>
      <c r="AH111" s="153"/>
      <c r="AI111" s="153"/>
      <c r="AJ111" s="153"/>
      <c r="AK111" s="153"/>
      <c r="AL111" s="153"/>
      <c r="AM111" s="153"/>
      <c r="AN111" s="153"/>
      <c r="AO111" s="153"/>
      <c r="AP111" s="153"/>
      <c r="AQ111" s="153"/>
      <c r="AR111" s="153"/>
      <c r="AS111" s="153"/>
      <c r="AT111" s="153"/>
      <c r="AU111" s="153"/>
      <c r="AV111" s="153"/>
      <c r="AW111" s="153"/>
      <c r="AX111" s="153"/>
      <c r="AY111" s="153"/>
      <c r="AZ111" s="153"/>
      <c r="BA111" s="153"/>
      <c r="BB111" s="153"/>
      <c r="BC111" s="153"/>
      <c r="BD111" s="153"/>
      <c r="BE111" s="153"/>
      <c r="BF111" s="153"/>
      <c r="BG111" s="153"/>
      <c r="BH111" s="153"/>
      <c r="BI111" s="153"/>
      <c r="BJ111" s="153"/>
      <c r="BK111" s="153"/>
      <c r="BL111" s="153"/>
      <c r="BM111" s="153"/>
      <c r="BN111" s="153"/>
      <c r="BO111" s="153"/>
      <c r="BP111" s="153"/>
      <c r="BQ111" s="153"/>
    </row>
    <row r="112" spans="1:69" x14ac:dyDescent="0.2">
      <c r="A112" s="153"/>
      <c r="B112" s="153"/>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3"/>
      <c r="AX112" s="153"/>
      <c r="AY112" s="153"/>
      <c r="AZ112" s="153"/>
      <c r="BA112" s="153"/>
      <c r="BB112" s="153"/>
      <c r="BC112" s="153"/>
      <c r="BD112" s="153"/>
      <c r="BE112" s="153"/>
      <c r="BF112" s="153"/>
      <c r="BG112" s="153"/>
      <c r="BH112" s="153"/>
      <c r="BI112" s="153"/>
      <c r="BJ112" s="153"/>
      <c r="BK112" s="153"/>
      <c r="BL112" s="153"/>
      <c r="BM112" s="153"/>
      <c r="BN112" s="153"/>
      <c r="BO112" s="153"/>
      <c r="BP112" s="153"/>
      <c r="BQ112" s="153"/>
    </row>
    <row r="113" spans="1:69" x14ac:dyDescent="0.2">
      <c r="A113" s="153"/>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3"/>
      <c r="AY113" s="153"/>
      <c r="AZ113" s="153"/>
      <c r="BA113" s="153"/>
      <c r="BB113" s="153"/>
      <c r="BC113" s="153"/>
      <c r="BD113" s="153"/>
      <c r="BE113" s="153"/>
      <c r="BF113" s="153"/>
      <c r="BG113" s="153"/>
      <c r="BH113" s="153"/>
      <c r="BI113" s="153"/>
      <c r="BJ113" s="153"/>
      <c r="BK113" s="153"/>
      <c r="BL113" s="153"/>
      <c r="BM113" s="153"/>
      <c r="BN113" s="153"/>
      <c r="BO113" s="153"/>
      <c r="BP113" s="153"/>
      <c r="BQ113" s="153"/>
    </row>
    <row r="114" spans="1:69" x14ac:dyDescent="0.2">
      <c r="A114" s="153"/>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c r="AQ114" s="153"/>
      <c r="AR114" s="153"/>
      <c r="AS114" s="153"/>
      <c r="AT114" s="153"/>
      <c r="AU114" s="153"/>
      <c r="AV114" s="153"/>
      <c r="AW114" s="153"/>
      <c r="AX114" s="153"/>
      <c r="AY114" s="153"/>
      <c r="AZ114" s="153"/>
      <c r="BA114" s="153"/>
      <c r="BB114" s="153"/>
      <c r="BC114" s="153"/>
      <c r="BD114" s="153"/>
      <c r="BE114" s="153"/>
      <c r="BF114" s="153"/>
      <c r="BG114" s="153"/>
      <c r="BH114" s="153"/>
      <c r="BI114" s="153"/>
      <c r="BJ114" s="153"/>
      <c r="BK114" s="153"/>
      <c r="BL114" s="153"/>
      <c r="BM114" s="153"/>
      <c r="BN114" s="153"/>
      <c r="BO114" s="153"/>
      <c r="BP114" s="153"/>
      <c r="BQ114" s="153"/>
    </row>
    <row r="115" spans="1:69" x14ac:dyDescent="0.2">
      <c r="A115" s="153"/>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153"/>
      <c r="AP115" s="153"/>
      <c r="AQ115" s="153"/>
      <c r="AR115" s="153"/>
      <c r="AS115" s="153"/>
      <c r="AT115" s="153"/>
      <c r="AU115" s="153"/>
      <c r="AV115" s="153"/>
      <c r="AW115" s="153"/>
      <c r="AX115" s="153"/>
      <c r="AY115" s="153"/>
      <c r="AZ115" s="153"/>
      <c r="BA115" s="153"/>
      <c r="BB115" s="153"/>
      <c r="BC115" s="153"/>
      <c r="BD115" s="153"/>
      <c r="BE115" s="153"/>
      <c r="BF115" s="153"/>
      <c r="BG115" s="153"/>
      <c r="BH115" s="153"/>
      <c r="BI115" s="153"/>
      <c r="BJ115" s="153"/>
      <c r="BK115" s="153"/>
      <c r="BL115" s="153"/>
      <c r="BM115" s="153"/>
      <c r="BN115" s="153"/>
      <c r="BO115" s="153"/>
      <c r="BP115" s="153"/>
      <c r="BQ115" s="153"/>
    </row>
    <row r="116" spans="1:69" x14ac:dyDescent="0.2">
      <c r="A116" s="153"/>
      <c r="B116" s="153"/>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c r="AG116" s="153"/>
      <c r="AH116" s="153"/>
      <c r="AI116" s="153"/>
      <c r="AJ116" s="153"/>
      <c r="AK116" s="153"/>
      <c r="AL116" s="153"/>
      <c r="AM116" s="153"/>
      <c r="AN116" s="153"/>
      <c r="AO116" s="153"/>
      <c r="AP116" s="153"/>
      <c r="AQ116" s="153"/>
      <c r="AR116" s="153"/>
      <c r="AS116" s="153"/>
      <c r="AT116" s="153"/>
      <c r="AU116" s="153"/>
      <c r="AV116" s="153"/>
      <c r="AW116" s="153"/>
      <c r="AX116" s="153"/>
      <c r="AY116" s="153"/>
      <c r="AZ116" s="153"/>
      <c r="BA116" s="153"/>
      <c r="BB116" s="153"/>
      <c r="BC116" s="153"/>
      <c r="BD116" s="153"/>
      <c r="BE116" s="153"/>
      <c r="BF116" s="153"/>
      <c r="BG116" s="153"/>
      <c r="BH116" s="153"/>
      <c r="BI116" s="153"/>
      <c r="BJ116" s="153"/>
      <c r="BK116" s="153"/>
      <c r="BL116" s="153"/>
      <c r="BM116" s="153"/>
      <c r="BN116" s="153"/>
      <c r="BO116" s="153"/>
      <c r="BP116" s="153"/>
      <c r="BQ116" s="153"/>
    </row>
    <row r="117" spans="1:69" x14ac:dyDescent="0.2">
      <c r="A117" s="153"/>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c r="AA117" s="153"/>
      <c r="AB117" s="153"/>
      <c r="AC117" s="153"/>
      <c r="AD117" s="153"/>
      <c r="AE117" s="153"/>
      <c r="AF117" s="153"/>
      <c r="AG117" s="153"/>
      <c r="AH117" s="153"/>
      <c r="AI117" s="153"/>
      <c r="AJ117" s="153"/>
      <c r="AK117" s="153"/>
      <c r="AL117" s="153"/>
      <c r="AM117" s="153"/>
      <c r="AN117" s="153"/>
      <c r="AO117" s="153"/>
      <c r="AP117" s="153"/>
      <c r="AQ117" s="153"/>
      <c r="AR117" s="153"/>
      <c r="AS117" s="153"/>
      <c r="AT117" s="153"/>
      <c r="AU117" s="153"/>
      <c r="AV117" s="153"/>
      <c r="AW117" s="153"/>
      <c r="AX117" s="153"/>
      <c r="AY117" s="153"/>
      <c r="AZ117" s="153"/>
      <c r="BA117" s="153"/>
      <c r="BB117" s="153"/>
      <c r="BC117" s="153"/>
      <c r="BD117" s="153"/>
      <c r="BE117" s="153"/>
      <c r="BF117" s="153"/>
      <c r="BG117" s="153"/>
      <c r="BH117" s="153"/>
      <c r="BI117" s="153"/>
      <c r="BJ117" s="153"/>
      <c r="BK117" s="153"/>
      <c r="BL117" s="153"/>
      <c r="BM117" s="153"/>
      <c r="BN117" s="153"/>
      <c r="BO117" s="153"/>
      <c r="BP117" s="153"/>
      <c r="BQ117" s="153"/>
    </row>
    <row r="118" spans="1:69" x14ac:dyDescent="0.2">
      <c r="A118" s="153"/>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c r="AA118" s="153"/>
      <c r="AB118" s="153"/>
      <c r="AC118" s="153"/>
      <c r="AD118" s="153"/>
      <c r="AE118" s="153"/>
      <c r="AF118" s="153"/>
      <c r="AG118" s="153"/>
      <c r="AH118" s="153"/>
      <c r="AI118" s="153"/>
      <c r="AJ118" s="153"/>
      <c r="AK118" s="153"/>
      <c r="AL118" s="153"/>
      <c r="AM118" s="153"/>
      <c r="AN118" s="153"/>
      <c r="AO118" s="153"/>
      <c r="AP118" s="153"/>
      <c r="AQ118" s="153"/>
      <c r="AR118" s="153"/>
      <c r="AS118" s="153"/>
      <c r="AT118" s="153"/>
      <c r="AU118" s="153"/>
      <c r="AV118" s="153"/>
      <c r="AW118" s="153"/>
      <c r="AX118" s="153"/>
      <c r="AY118" s="153"/>
      <c r="AZ118" s="153"/>
      <c r="BA118" s="153"/>
      <c r="BB118" s="153"/>
      <c r="BC118" s="153"/>
      <c r="BD118" s="153"/>
      <c r="BE118" s="153"/>
      <c r="BF118" s="153"/>
      <c r="BG118" s="153"/>
      <c r="BH118" s="153"/>
      <c r="BI118" s="153"/>
      <c r="BJ118" s="153"/>
      <c r="BK118" s="153"/>
      <c r="BL118" s="153"/>
      <c r="BM118" s="153"/>
      <c r="BN118" s="153"/>
      <c r="BO118" s="153"/>
      <c r="BP118" s="153"/>
      <c r="BQ118" s="153"/>
    </row>
    <row r="119" spans="1:69" x14ac:dyDescent="0.2">
      <c r="A119" s="153"/>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c r="AA119" s="153"/>
      <c r="AB119" s="153"/>
      <c r="AC119" s="153"/>
      <c r="AD119" s="153"/>
      <c r="AE119" s="153"/>
      <c r="AF119" s="153"/>
      <c r="AG119" s="153"/>
      <c r="AH119" s="153"/>
      <c r="AI119" s="153"/>
      <c r="AJ119" s="153"/>
      <c r="AK119" s="153"/>
      <c r="AL119" s="153"/>
      <c r="AM119" s="153"/>
      <c r="AN119" s="153"/>
      <c r="AO119" s="153"/>
      <c r="AP119" s="153"/>
      <c r="AQ119" s="153"/>
      <c r="AR119" s="153"/>
      <c r="AS119" s="153"/>
      <c r="AT119" s="153"/>
      <c r="AU119" s="153"/>
      <c r="AV119" s="153"/>
      <c r="AW119" s="153"/>
      <c r="AX119" s="153"/>
      <c r="AY119" s="153"/>
      <c r="AZ119" s="153"/>
      <c r="BA119" s="153"/>
      <c r="BB119" s="153"/>
      <c r="BC119" s="153"/>
      <c r="BD119" s="153"/>
      <c r="BE119" s="153"/>
      <c r="BF119" s="153"/>
      <c r="BG119" s="153"/>
      <c r="BH119" s="153"/>
      <c r="BI119" s="153"/>
      <c r="BJ119" s="153"/>
      <c r="BK119" s="153"/>
      <c r="BL119" s="153"/>
      <c r="BM119" s="153"/>
      <c r="BN119" s="153"/>
      <c r="BO119" s="153"/>
      <c r="BP119" s="153"/>
      <c r="BQ119" s="153"/>
    </row>
    <row r="120" spans="1:69" x14ac:dyDescent="0.2">
      <c r="A120" s="153"/>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153"/>
      <c r="AL120" s="153"/>
      <c r="AM120" s="153"/>
      <c r="AN120" s="153"/>
      <c r="AO120" s="153"/>
      <c r="AP120" s="153"/>
      <c r="AQ120" s="153"/>
      <c r="AR120" s="153"/>
      <c r="AS120" s="153"/>
      <c r="AT120" s="153"/>
      <c r="AU120" s="153"/>
      <c r="AV120" s="153"/>
      <c r="AW120" s="153"/>
      <c r="AX120" s="153"/>
      <c r="AY120" s="153"/>
      <c r="AZ120" s="153"/>
      <c r="BA120" s="153"/>
      <c r="BB120" s="153"/>
      <c r="BC120" s="153"/>
      <c r="BD120" s="153"/>
      <c r="BE120" s="153"/>
      <c r="BF120" s="153"/>
      <c r="BG120" s="153"/>
      <c r="BH120" s="153"/>
      <c r="BI120" s="153"/>
      <c r="BJ120" s="153"/>
      <c r="BK120" s="153"/>
      <c r="BL120" s="153"/>
      <c r="BM120" s="153"/>
      <c r="BN120" s="153"/>
      <c r="BO120" s="153"/>
      <c r="BP120" s="153"/>
      <c r="BQ120" s="153"/>
    </row>
    <row r="121" spans="1:69" x14ac:dyDescent="0.2">
      <c r="A121" s="153"/>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c r="AA121" s="153"/>
      <c r="AB121" s="153"/>
      <c r="AC121" s="153"/>
      <c r="AD121" s="153"/>
      <c r="AE121" s="153"/>
      <c r="AF121" s="153"/>
      <c r="AG121" s="153"/>
      <c r="AH121" s="153"/>
      <c r="AI121" s="153"/>
      <c r="AJ121" s="153"/>
      <c r="AK121" s="153"/>
      <c r="AL121" s="153"/>
      <c r="AM121" s="153"/>
      <c r="AN121" s="153"/>
      <c r="AO121" s="153"/>
      <c r="AP121" s="153"/>
      <c r="AQ121" s="153"/>
      <c r="AR121" s="153"/>
      <c r="AS121" s="153"/>
      <c r="AT121" s="153"/>
      <c r="AU121" s="153"/>
      <c r="AV121" s="153"/>
      <c r="AW121" s="153"/>
      <c r="AX121" s="153"/>
      <c r="AY121" s="153"/>
      <c r="AZ121" s="153"/>
      <c r="BA121" s="153"/>
      <c r="BB121" s="153"/>
      <c r="BC121" s="153"/>
      <c r="BD121" s="153"/>
      <c r="BE121" s="153"/>
      <c r="BF121" s="153"/>
      <c r="BG121" s="153"/>
      <c r="BH121" s="153"/>
      <c r="BI121" s="153"/>
      <c r="BJ121" s="153"/>
      <c r="BK121" s="153"/>
      <c r="BL121" s="153"/>
      <c r="BM121" s="153"/>
      <c r="BN121" s="153"/>
      <c r="BO121" s="153"/>
      <c r="BP121" s="153"/>
      <c r="BQ121" s="153"/>
    </row>
    <row r="122" spans="1:69" x14ac:dyDescent="0.2">
      <c r="A122" s="153"/>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c r="AA122" s="153"/>
      <c r="AB122" s="153"/>
      <c r="AC122" s="153"/>
      <c r="AD122" s="153"/>
      <c r="AE122" s="153"/>
      <c r="AF122" s="153"/>
      <c r="AG122" s="153"/>
      <c r="AH122" s="153"/>
      <c r="AI122" s="153"/>
      <c r="AJ122" s="153"/>
      <c r="AK122" s="153"/>
      <c r="AL122" s="153"/>
      <c r="AM122" s="153"/>
      <c r="AN122" s="153"/>
      <c r="AO122" s="153"/>
      <c r="AP122" s="153"/>
      <c r="AQ122" s="153"/>
      <c r="AR122" s="153"/>
      <c r="AS122" s="153"/>
      <c r="AT122" s="153"/>
      <c r="AU122" s="153"/>
      <c r="AV122" s="153"/>
      <c r="AW122" s="153"/>
      <c r="AX122" s="153"/>
      <c r="AY122" s="153"/>
      <c r="AZ122" s="153"/>
      <c r="BA122" s="153"/>
      <c r="BB122" s="153"/>
      <c r="BC122" s="153"/>
      <c r="BD122" s="153"/>
      <c r="BE122" s="153"/>
      <c r="BF122" s="153"/>
      <c r="BG122" s="153"/>
      <c r="BH122" s="153"/>
      <c r="BI122" s="153"/>
      <c r="BJ122" s="153"/>
      <c r="BK122" s="153"/>
      <c r="BL122" s="153"/>
      <c r="BM122" s="153"/>
      <c r="BN122" s="153"/>
      <c r="BO122" s="153"/>
      <c r="BP122" s="153"/>
      <c r="BQ122" s="153"/>
    </row>
    <row r="123" spans="1:69" x14ac:dyDescent="0.2">
      <c r="A123" s="153"/>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153"/>
      <c r="AZ123" s="153"/>
      <c r="BA123" s="153"/>
      <c r="BB123" s="153"/>
      <c r="BC123" s="153"/>
      <c r="BD123" s="153"/>
      <c r="BE123" s="153"/>
      <c r="BF123" s="153"/>
      <c r="BG123" s="153"/>
      <c r="BH123" s="153"/>
      <c r="BI123" s="153"/>
      <c r="BJ123" s="153"/>
      <c r="BK123" s="153"/>
      <c r="BL123" s="153"/>
      <c r="BM123" s="153"/>
      <c r="BN123" s="153"/>
      <c r="BO123" s="153"/>
      <c r="BP123" s="153"/>
      <c r="BQ123" s="153"/>
    </row>
    <row r="124" spans="1:69" x14ac:dyDescent="0.2">
      <c r="A124" s="153"/>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c r="AI124" s="153"/>
      <c r="AJ124" s="153"/>
      <c r="AK124" s="153"/>
      <c r="AL124" s="153"/>
      <c r="AM124" s="153"/>
      <c r="AN124" s="153"/>
      <c r="AO124" s="153"/>
      <c r="AP124" s="153"/>
      <c r="AQ124" s="153"/>
      <c r="AR124" s="153"/>
      <c r="AS124" s="153"/>
      <c r="AT124" s="153"/>
      <c r="AU124" s="153"/>
      <c r="AV124" s="153"/>
      <c r="AW124" s="153"/>
      <c r="AX124" s="153"/>
      <c r="AY124" s="153"/>
      <c r="AZ124" s="153"/>
      <c r="BA124" s="153"/>
      <c r="BB124" s="153"/>
      <c r="BC124" s="153"/>
      <c r="BD124" s="153"/>
      <c r="BE124" s="153"/>
      <c r="BF124" s="153"/>
      <c r="BG124" s="153"/>
      <c r="BH124" s="153"/>
      <c r="BI124" s="153"/>
      <c r="BJ124" s="153"/>
      <c r="BK124" s="153"/>
      <c r="BL124" s="153"/>
      <c r="BM124" s="153"/>
      <c r="BN124" s="153"/>
      <c r="BO124" s="153"/>
      <c r="BP124" s="153"/>
      <c r="BQ124" s="153"/>
    </row>
    <row r="125" spans="1:69" x14ac:dyDescent="0.2">
      <c r="A125" s="153"/>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c r="AE125" s="153"/>
      <c r="AF125" s="153"/>
      <c r="AG125" s="153"/>
      <c r="AH125" s="153"/>
      <c r="AI125" s="153"/>
      <c r="AJ125" s="153"/>
      <c r="AK125" s="153"/>
      <c r="AL125" s="153"/>
      <c r="AM125" s="153"/>
      <c r="AN125" s="153"/>
      <c r="AO125" s="153"/>
      <c r="AP125" s="153"/>
      <c r="AQ125" s="153"/>
      <c r="AR125" s="153"/>
      <c r="AS125" s="153"/>
      <c r="AT125" s="153"/>
      <c r="AU125" s="153"/>
      <c r="AV125" s="153"/>
      <c r="AW125" s="153"/>
      <c r="AX125" s="153"/>
      <c r="AY125" s="153"/>
      <c r="AZ125" s="153"/>
      <c r="BA125" s="153"/>
      <c r="BB125" s="153"/>
      <c r="BC125" s="153"/>
      <c r="BD125" s="153"/>
      <c r="BE125" s="153"/>
      <c r="BF125" s="153"/>
      <c r="BG125" s="153"/>
      <c r="BH125" s="153"/>
      <c r="BI125" s="153"/>
      <c r="BJ125" s="153"/>
      <c r="BK125" s="153"/>
      <c r="BL125" s="153"/>
      <c r="BM125" s="153"/>
      <c r="BN125" s="153"/>
      <c r="BO125" s="153"/>
      <c r="BP125" s="153"/>
      <c r="BQ125" s="153"/>
    </row>
    <row r="126" spans="1:69" x14ac:dyDescent="0.2">
      <c r="A126" s="153"/>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153"/>
      <c r="AP126" s="153"/>
      <c r="AQ126" s="153"/>
      <c r="AR126" s="153"/>
      <c r="AS126" s="153"/>
      <c r="AT126" s="153"/>
      <c r="AU126" s="153"/>
      <c r="AV126" s="153"/>
      <c r="AW126" s="153"/>
      <c r="AX126" s="153"/>
      <c r="AY126" s="153"/>
      <c r="AZ126" s="153"/>
      <c r="BA126" s="153"/>
      <c r="BB126" s="153"/>
      <c r="BC126" s="153"/>
      <c r="BD126" s="153"/>
      <c r="BE126" s="153"/>
      <c r="BF126" s="153"/>
      <c r="BG126" s="153"/>
      <c r="BH126" s="153"/>
      <c r="BI126" s="153"/>
      <c r="BJ126" s="153"/>
      <c r="BK126" s="153"/>
      <c r="BL126" s="153"/>
      <c r="BM126" s="153"/>
      <c r="BN126" s="153"/>
      <c r="BO126" s="153"/>
      <c r="BP126" s="153"/>
      <c r="BQ126" s="153"/>
    </row>
    <row r="127" spans="1:69" x14ac:dyDescent="0.2">
      <c r="A127" s="153"/>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153"/>
      <c r="AP127" s="153"/>
      <c r="AQ127" s="153"/>
      <c r="AR127" s="153"/>
      <c r="AS127" s="153"/>
      <c r="AT127" s="153"/>
      <c r="AU127" s="153"/>
      <c r="AV127" s="153"/>
      <c r="AW127" s="153"/>
      <c r="AX127" s="153"/>
      <c r="AY127" s="153"/>
      <c r="AZ127" s="153"/>
      <c r="BA127" s="153"/>
      <c r="BB127" s="153"/>
      <c r="BC127" s="153"/>
      <c r="BD127" s="153"/>
      <c r="BE127" s="153"/>
      <c r="BF127" s="153"/>
      <c r="BG127" s="153"/>
      <c r="BH127" s="153"/>
      <c r="BI127" s="153"/>
      <c r="BJ127" s="153"/>
      <c r="BK127" s="153"/>
      <c r="BL127" s="153"/>
      <c r="BM127" s="153"/>
      <c r="BN127" s="153"/>
      <c r="BO127" s="153"/>
      <c r="BP127" s="153"/>
      <c r="BQ127" s="153"/>
    </row>
    <row r="128" spans="1:69" x14ac:dyDescent="0.2">
      <c r="A128" s="153"/>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3"/>
      <c r="AY128" s="153"/>
      <c r="AZ128" s="153"/>
      <c r="BA128" s="153"/>
      <c r="BB128" s="153"/>
      <c r="BC128" s="153"/>
      <c r="BD128" s="153"/>
      <c r="BE128" s="153"/>
      <c r="BF128" s="153"/>
      <c r="BG128" s="153"/>
      <c r="BH128" s="153"/>
      <c r="BI128" s="153"/>
      <c r="BJ128" s="153"/>
      <c r="BK128" s="153"/>
      <c r="BL128" s="153"/>
      <c r="BM128" s="153"/>
      <c r="BN128" s="153"/>
      <c r="BO128" s="153"/>
      <c r="BP128" s="153"/>
      <c r="BQ128" s="153"/>
    </row>
    <row r="129" spans="1:69" x14ac:dyDescent="0.2">
      <c r="A129" s="153"/>
      <c r="B129" s="153"/>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c r="AA129" s="153"/>
      <c r="AB129" s="153"/>
      <c r="AC129" s="153"/>
      <c r="AD129" s="153"/>
      <c r="AE129" s="153"/>
      <c r="AF129" s="153"/>
      <c r="AG129" s="153"/>
      <c r="AH129" s="153"/>
      <c r="AI129" s="153"/>
      <c r="AJ129" s="153"/>
      <c r="AK129" s="153"/>
      <c r="AL129" s="153"/>
      <c r="AM129" s="153"/>
      <c r="AN129" s="153"/>
      <c r="AO129" s="153"/>
      <c r="AP129" s="153"/>
      <c r="AQ129" s="153"/>
      <c r="AR129" s="153"/>
      <c r="AS129" s="153"/>
      <c r="AT129" s="153"/>
      <c r="AU129" s="153"/>
      <c r="AV129" s="153"/>
      <c r="AW129" s="153"/>
      <c r="AX129" s="153"/>
      <c r="AY129" s="153"/>
      <c r="AZ129" s="153"/>
      <c r="BA129" s="153"/>
      <c r="BB129" s="153"/>
      <c r="BC129" s="153"/>
      <c r="BD129" s="153"/>
      <c r="BE129" s="153"/>
      <c r="BF129" s="153"/>
      <c r="BG129" s="153"/>
      <c r="BH129" s="153"/>
      <c r="BI129" s="153"/>
      <c r="BJ129" s="153"/>
      <c r="BK129" s="153"/>
      <c r="BL129" s="153"/>
      <c r="BM129" s="153"/>
      <c r="BN129" s="153"/>
      <c r="BO129" s="153"/>
      <c r="BP129" s="153"/>
      <c r="BQ129" s="153"/>
    </row>
    <row r="130" spans="1:69" x14ac:dyDescent="0.2">
      <c r="A130" s="153"/>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c r="AA130" s="153"/>
      <c r="AB130" s="153"/>
      <c r="AC130" s="153"/>
      <c r="AD130" s="153"/>
      <c r="AE130" s="153"/>
      <c r="AF130" s="153"/>
      <c r="AG130" s="153"/>
      <c r="AH130" s="153"/>
      <c r="AI130" s="153"/>
      <c r="AJ130" s="153"/>
      <c r="AK130" s="153"/>
      <c r="AL130" s="153"/>
      <c r="AM130" s="153"/>
      <c r="AN130" s="153"/>
      <c r="AO130" s="153"/>
      <c r="AP130" s="153"/>
      <c r="AQ130" s="153"/>
      <c r="AR130" s="153"/>
      <c r="AS130" s="153"/>
      <c r="AT130" s="153"/>
      <c r="AU130" s="153"/>
      <c r="AV130" s="153"/>
      <c r="AW130" s="153"/>
      <c r="AX130" s="153"/>
      <c r="AY130" s="153"/>
      <c r="AZ130" s="153"/>
      <c r="BA130" s="153"/>
      <c r="BB130" s="153"/>
      <c r="BC130" s="153"/>
      <c r="BD130" s="153"/>
      <c r="BE130" s="153"/>
      <c r="BF130" s="153"/>
      <c r="BG130" s="153"/>
      <c r="BH130" s="153"/>
      <c r="BI130" s="153"/>
      <c r="BJ130" s="153"/>
      <c r="BK130" s="153"/>
      <c r="BL130" s="153"/>
      <c r="BM130" s="153"/>
      <c r="BN130" s="153"/>
      <c r="BO130" s="153"/>
      <c r="BP130" s="153"/>
      <c r="BQ130" s="153"/>
    </row>
    <row r="131" spans="1:69" x14ac:dyDescent="0.2">
      <c r="A131" s="153"/>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c r="AA131" s="153"/>
      <c r="AB131" s="153"/>
      <c r="AC131" s="153"/>
      <c r="AD131" s="153"/>
      <c r="AE131" s="153"/>
      <c r="AF131" s="153"/>
      <c r="AG131" s="153"/>
      <c r="AH131" s="153"/>
      <c r="AI131" s="153"/>
      <c r="AJ131" s="153"/>
      <c r="AK131" s="153"/>
      <c r="AL131" s="153"/>
      <c r="AM131" s="153"/>
      <c r="AN131" s="153"/>
      <c r="AO131" s="153"/>
      <c r="AP131" s="153"/>
      <c r="AQ131" s="153"/>
      <c r="AR131" s="153"/>
      <c r="AS131" s="153"/>
      <c r="AT131" s="153"/>
      <c r="AU131" s="153"/>
      <c r="AV131" s="153"/>
      <c r="AW131" s="153"/>
      <c r="AX131" s="153"/>
      <c r="AY131" s="153"/>
      <c r="AZ131" s="153"/>
      <c r="BA131" s="153"/>
      <c r="BB131" s="153"/>
      <c r="BC131" s="153"/>
      <c r="BD131" s="153"/>
      <c r="BE131" s="153"/>
      <c r="BF131" s="153"/>
      <c r="BG131" s="153"/>
      <c r="BH131" s="153"/>
      <c r="BI131" s="153"/>
      <c r="BJ131" s="153"/>
      <c r="BK131" s="153"/>
      <c r="BL131" s="153"/>
      <c r="BM131" s="153"/>
      <c r="BN131" s="153"/>
      <c r="BO131" s="153"/>
      <c r="BP131" s="153"/>
      <c r="BQ131" s="153"/>
    </row>
    <row r="132" spans="1:69" x14ac:dyDescent="0.2">
      <c r="A132" s="153"/>
      <c r="B132" s="153"/>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c r="AA132" s="153"/>
      <c r="AB132" s="153"/>
      <c r="AC132" s="153"/>
      <c r="AD132" s="153"/>
      <c r="AE132" s="153"/>
      <c r="AF132" s="153"/>
      <c r="AG132" s="153"/>
      <c r="AH132" s="153"/>
      <c r="AI132" s="153"/>
      <c r="AJ132" s="153"/>
      <c r="AK132" s="153"/>
      <c r="AL132" s="153"/>
      <c r="AM132" s="153"/>
      <c r="AN132" s="153"/>
      <c r="AO132" s="153"/>
      <c r="AP132" s="153"/>
      <c r="AQ132" s="153"/>
      <c r="AR132" s="153"/>
      <c r="AS132" s="153"/>
      <c r="AT132" s="153"/>
      <c r="AU132" s="153"/>
      <c r="AV132" s="153"/>
      <c r="AW132" s="153"/>
      <c r="AX132" s="153"/>
      <c r="AY132" s="153"/>
      <c r="AZ132" s="153"/>
      <c r="BA132" s="153"/>
      <c r="BB132" s="153"/>
      <c r="BC132" s="153"/>
      <c r="BD132" s="153"/>
      <c r="BE132" s="153"/>
      <c r="BF132" s="153"/>
      <c r="BG132" s="153"/>
      <c r="BH132" s="153"/>
      <c r="BI132" s="153"/>
      <c r="BJ132" s="153"/>
      <c r="BK132" s="153"/>
      <c r="BL132" s="153"/>
      <c r="BM132" s="153"/>
      <c r="BN132" s="153"/>
      <c r="BO132" s="153"/>
      <c r="BP132" s="153"/>
      <c r="BQ132" s="153"/>
    </row>
    <row r="133" spans="1:69" x14ac:dyDescent="0.2">
      <c r="A133" s="153"/>
      <c r="B133" s="153"/>
      <c r="C133" s="153"/>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c r="AA133" s="153"/>
      <c r="AB133" s="153"/>
      <c r="AC133" s="153"/>
      <c r="AD133" s="153"/>
      <c r="AE133" s="153"/>
      <c r="AF133" s="153"/>
      <c r="AG133" s="153"/>
      <c r="AH133" s="153"/>
      <c r="AI133" s="153"/>
      <c r="AJ133" s="153"/>
      <c r="AK133" s="153"/>
      <c r="AL133" s="153"/>
      <c r="AM133" s="153"/>
      <c r="AN133" s="153"/>
      <c r="AO133" s="153"/>
      <c r="AP133" s="153"/>
      <c r="AQ133" s="153"/>
      <c r="AR133" s="153"/>
      <c r="AS133" s="153"/>
      <c r="AT133" s="153"/>
      <c r="AU133" s="153"/>
      <c r="AV133" s="153"/>
      <c r="AW133" s="153"/>
      <c r="AX133" s="153"/>
      <c r="AY133" s="153"/>
      <c r="AZ133" s="153"/>
      <c r="BA133" s="153"/>
      <c r="BB133" s="153"/>
      <c r="BC133" s="153"/>
      <c r="BD133" s="153"/>
      <c r="BE133" s="153"/>
      <c r="BF133" s="153"/>
      <c r="BG133" s="153"/>
      <c r="BH133" s="153"/>
      <c r="BI133" s="153"/>
      <c r="BJ133" s="153"/>
      <c r="BK133" s="153"/>
      <c r="BL133" s="153"/>
      <c r="BM133" s="153"/>
      <c r="BN133" s="153"/>
      <c r="BO133" s="153"/>
      <c r="BP133" s="153"/>
      <c r="BQ133" s="153"/>
    </row>
    <row r="134" spans="1:69" x14ac:dyDescent="0.2">
      <c r="A134" s="153"/>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c r="AA134" s="153"/>
      <c r="AB134" s="153"/>
      <c r="AC134" s="153"/>
      <c r="AD134" s="153"/>
      <c r="AE134" s="153"/>
      <c r="AF134" s="153"/>
      <c r="AG134" s="153"/>
      <c r="AH134" s="153"/>
      <c r="AI134" s="153"/>
      <c r="AJ134" s="153"/>
      <c r="AK134" s="153"/>
      <c r="AL134" s="153"/>
      <c r="AM134" s="153"/>
      <c r="AN134" s="153"/>
      <c r="AO134" s="153"/>
      <c r="AP134" s="153"/>
      <c r="AQ134" s="153"/>
      <c r="AR134" s="153"/>
      <c r="AS134" s="153"/>
      <c r="AT134" s="153"/>
      <c r="AU134" s="153"/>
      <c r="AV134" s="153"/>
      <c r="AW134" s="153"/>
      <c r="AX134" s="153"/>
      <c r="AY134" s="153"/>
      <c r="AZ134" s="153"/>
      <c r="BA134" s="153"/>
      <c r="BB134" s="153"/>
      <c r="BC134" s="153"/>
      <c r="BD134" s="153"/>
      <c r="BE134" s="153"/>
      <c r="BF134" s="153"/>
      <c r="BG134" s="153"/>
      <c r="BH134" s="153"/>
      <c r="BI134" s="153"/>
      <c r="BJ134" s="153"/>
      <c r="BK134" s="153"/>
      <c r="BL134" s="153"/>
      <c r="BM134" s="153"/>
      <c r="BN134" s="153"/>
      <c r="BO134" s="153"/>
      <c r="BP134" s="153"/>
      <c r="BQ134" s="153"/>
    </row>
    <row r="135" spans="1:69" x14ac:dyDescent="0.2">
      <c r="A135" s="153"/>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c r="AA135" s="153"/>
      <c r="AB135" s="153"/>
      <c r="AC135" s="153"/>
      <c r="AD135" s="153"/>
      <c r="AE135" s="153"/>
      <c r="AF135" s="153"/>
      <c r="AG135" s="153"/>
      <c r="AH135" s="153"/>
      <c r="AI135" s="153"/>
      <c r="AJ135" s="153"/>
      <c r="AK135" s="153"/>
      <c r="AL135" s="153"/>
      <c r="AM135" s="153"/>
      <c r="AN135" s="153"/>
      <c r="AO135" s="153"/>
      <c r="AP135" s="153"/>
      <c r="AQ135" s="153"/>
      <c r="AR135" s="153"/>
      <c r="AS135" s="153"/>
      <c r="AT135" s="153"/>
      <c r="AU135" s="153"/>
      <c r="AV135" s="153"/>
      <c r="AW135" s="153"/>
      <c r="AX135" s="153"/>
      <c r="AY135" s="153"/>
      <c r="AZ135" s="153"/>
      <c r="BA135" s="153"/>
      <c r="BB135" s="153"/>
      <c r="BC135" s="153"/>
      <c r="BD135" s="153"/>
      <c r="BE135" s="153"/>
      <c r="BF135" s="153"/>
      <c r="BG135" s="153"/>
      <c r="BH135" s="153"/>
      <c r="BI135" s="153"/>
      <c r="BJ135" s="153"/>
      <c r="BK135" s="153"/>
      <c r="BL135" s="153"/>
      <c r="BM135" s="153"/>
      <c r="BN135" s="153"/>
      <c r="BO135" s="153"/>
      <c r="BP135" s="153"/>
      <c r="BQ135" s="153"/>
    </row>
    <row r="136" spans="1:69" x14ac:dyDescent="0.2">
      <c r="A136" s="153"/>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c r="AA136" s="153"/>
      <c r="AB136" s="153"/>
      <c r="AC136" s="153"/>
      <c r="AD136" s="153"/>
      <c r="AE136" s="153"/>
      <c r="AF136" s="153"/>
      <c r="AG136" s="153"/>
      <c r="AH136" s="153"/>
      <c r="AI136" s="153"/>
      <c r="AJ136" s="153"/>
      <c r="AK136" s="153"/>
      <c r="AL136" s="153"/>
      <c r="AM136" s="153"/>
      <c r="AN136" s="153"/>
      <c r="AO136" s="153"/>
      <c r="AP136" s="153"/>
      <c r="AQ136" s="153"/>
      <c r="AR136" s="153"/>
      <c r="AS136" s="153"/>
      <c r="AT136" s="153"/>
      <c r="AU136" s="153"/>
      <c r="AV136" s="153"/>
      <c r="AW136" s="153"/>
      <c r="AX136" s="153"/>
      <c r="AY136" s="153"/>
      <c r="AZ136" s="153"/>
      <c r="BA136" s="153"/>
      <c r="BB136" s="153"/>
      <c r="BC136" s="153"/>
      <c r="BD136" s="153"/>
      <c r="BE136" s="153"/>
      <c r="BF136" s="153"/>
      <c r="BG136" s="153"/>
      <c r="BH136" s="153"/>
      <c r="BI136" s="153"/>
      <c r="BJ136" s="153"/>
      <c r="BK136" s="153"/>
      <c r="BL136" s="153"/>
      <c r="BM136" s="153"/>
      <c r="BN136" s="153"/>
      <c r="BO136" s="153"/>
      <c r="BP136" s="153"/>
      <c r="BQ136" s="153"/>
    </row>
    <row r="137" spans="1:69" x14ac:dyDescent="0.2">
      <c r="A137" s="153"/>
      <c r="B137" s="153"/>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c r="AA137" s="153"/>
      <c r="AB137" s="153"/>
      <c r="AC137" s="153"/>
      <c r="AD137" s="153"/>
      <c r="AE137" s="153"/>
      <c r="AF137" s="153"/>
      <c r="AG137" s="153"/>
      <c r="AH137" s="153"/>
      <c r="AI137" s="153"/>
      <c r="AJ137" s="153"/>
      <c r="AK137" s="153"/>
      <c r="AL137" s="153"/>
      <c r="AM137" s="153"/>
      <c r="AN137" s="153"/>
      <c r="AO137" s="153"/>
      <c r="AP137" s="153"/>
      <c r="AQ137" s="153"/>
      <c r="AR137" s="153"/>
      <c r="AS137" s="153"/>
      <c r="AT137" s="153"/>
      <c r="AU137" s="153"/>
      <c r="AV137" s="153"/>
      <c r="AW137" s="153"/>
      <c r="AX137" s="153"/>
      <c r="AY137" s="153"/>
      <c r="AZ137" s="153"/>
      <c r="BA137" s="153"/>
      <c r="BB137" s="153"/>
      <c r="BC137" s="153"/>
      <c r="BD137" s="153"/>
      <c r="BE137" s="153"/>
      <c r="BF137" s="153"/>
      <c r="BG137" s="153"/>
      <c r="BH137" s="153"/>
      <c r="BI137" s="153"/>
      <c r="BJ137" s="153"/>
      <c r="BK137" s="153"/>
      <c r="BL137" s="153"/>
      <c r="BM137" s="153"/>
      <c r="BN137" s="153"/>
      <c r="BO137" s="153"/>
      <c r="BP137" s="153"/>
      <c r="BQ137" s="153"/>
    </row>
    <row r="138" spans="1:69" x14ac:dyDescent="0.2">
      <c r="A138" s="153"/>
      <c r="B138" s="153"/>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c r="AA138" s="153"/>
      <c r="AB138" s="153"/>
      <c r="AC138" s="153"/>
      <c r="AD138" s="153"/>
      <c r="AE138" s="153"/>
      <c r="AF138" s="153"/>
      <c r="AG138" s="153"/>
      <c r="AH138" s="153"/>
      <c r="AI138" s="153"/>
      <c r="AJ138" s="153"/>
      <c r="AK138" s="153"/>
      <c r="AL138" s="153"/>
      <c r="AM138" s="153"/>
      <c r="AN138" s="153"/>
      <c r="AO138" s="153"/>
      <c r="AP138" s="153"/>
      <c r="AQ138" s="153"/>
      <c r="AR138" s="153"/>
      <c r="AS138" s="153"/>
      <c r="AT138" s="153"/>
      <c r="AU138" s="153"/>
      <c r="AV138" s="153"/>
      <c r="AW138" s="153"/>
      <c r="AX138" s="153"/>
      <c r="AY138" s="153"/>
      <c r="AZ138" s="153"/>
      <c r="BA138" s="153"/>
      <c r="BB138" s="153"/>
      <c r="BC138" s="153"/>
      <c r="BD138" s="153"/>
      <c r="BE138" s="153"/>
      <c r="BF138" s="153"/>
      <c r="BG138" s="153"/>
      <c r="BH138" s="153"/>
      <c r="BI138" s="153"/>
      <c r="BJ138" s="153"/>
      <c r="BK138" s="153"/>
      <c r="BL138" s="153"/>
      <c r="BM138" s="153"/>
      <c r="BN138" s="153"/>
      <c r="BO138" s="153"/>
      <c r="BP138" s="153"/>
      <c r="BQ138" s="153"/>
    </row>
    <row r="139" spans="1:69" x14ac:dyDescent="0.2">
      <c r="A139" s="153"/>
      <c r="B139" s="153"/>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c r="AA139" s="153"/>
      <c r="AB139" s="153"/>
      <c r="AC139" s="153"/>
      <c r="AD139" s="153"/>
      <c r="AE139" s="153"/>
      <c r="AF139" s="153"/>
      <c r="AG139" s="153"/>
      <c r="AH139" s="153"/>
      <c r="AI139" s="153"/>
      <c r="AJ139" s="153"/>
      <c r="AK139" s="153"/>
      <c r="AL139" s="153"/>
      <c r="AM139" s="153"/>
      <c r="AN139" s="153"/>
      <c r="AO139" s="153"/>
      <c r="AP139" s="153"/>
      <c r="AQ139" s="153"/>
      <c r="AR139" s="153"/>
      <c r="AS139" s="153"/>
      <c r="AT139" s="153"/>
      <c r="AU139" s="153"/>
      <c r="AV139" s="153"/>
      <c r="AW139" s="153"/>
      <c r="AX139" s="153"/>
      <c r="AY139" s="153"/>
      <c r="AZ139" s="153"/>
      <c r="BA139" s="153"/>
      <c r="BB139" s="153"/>
      <c r="BC139" s="153"/>
      <c r="BD139" s="153"/>
      <c r="BE139" s="153"/>
      <c r="BF139" s="153"/>
      <c r="BG139" s="153"/>
      <c r="BH139" s="153"/>
      <c r="BI139" s="153"/>
      <c r="BJ139" s="153"/>
      <c r="BK139" s="153"/>
      <c r="BL139" s="153"/>
      <c r="BM139" s="153"/>
      <c r="BN139" s="153"/>
      <c r="BO139" s="153"/>
      <c r="BP139" s="153"/>
      <c r="BQ139" s="153"/>
    </row>
    <row r="140" spans="1:69" x14ac:dyDescent="0.2">
      <c r="A140" s="153"/>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c r="AA140" s="153"/>
      <c r="AB140" s="153"/>
      <c r="AC140" s="153"/>
      <c r="AD140" s="153"/>
      <c r="AE140" s="153"/>
      <c r="AF140" s="153"/>
      <c r="AG140" s="153"/>
      <c r="AH140" s="153"/>
      <c r="AI140" s="153"/>
      <c r="AJ140" s="153"/>
      <c r="AK140" s="153"/>
      <c r="AL140" s="153"/>
      <c r="AM140" s="153"/>
      <c r="AN140" s="153"/>
      <c r="AO140" s="153"/>
      <c r="AP140" s="153"/>
      <c r="AQ140" s="153"/>
      <c r="AR140" s="153"/>
      <c r="AS140" s="153"/>
      <c r="AT140" s="153"/>
      <c r="AU140" s="153"/>
      <c r="AV140" s="153"/>
      <c r="AW140" s="153"/>
      <c r="AX140" s="153"/>
      <c r="AY140" s="153"/>
      <c r="AZ140" s="153"/>
      <c r="BA140" s="153"/>
      <c r="BB140" s="153"/>
      <c r="BC140" s="153"/>
      <c r="BD140" s="153"/>
      <c r="BE140" s="153"/>
      <c r="BF140" s="153"/>
      <c r="BG140" s="153"/>
      <c r="BH140" s="153"/>
      <c r="BI140" s="153"/>
      <c r="BJ140" s="153"/>
      <c r="BK140" s="153"/>
      <c r="BL140" s="153"/>
      <c r="BM140" s="153"/>
      <c r="BN140" s="153"/>
      <c r="BO140" s="153"/>
      <c r="BP140" s="153"/>
      <c r="BQ140" s="153"/>
    </row>
    <row r="141" spans="1:69" x14ac:dyDescent="0.2">
      <c r="A141" s="153"/>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c r="AA141" s="153"/>
      <c r="AB141" s="153"/>
      <c r="AC141" s="153"/>
      <c r="AD141" s="153"/>
      <c r="AE141" s="153"/>
      <c r="AF141" s="153"/>
      <c r="AG141" s="153"/>
      <c r="AH141" s="153"/>
      <c r="AI141" s="153"/>
      <c r="AJ141" s="153"/>
      <c r="AK141" s="153"/>
      <c r="AL141" s="153"/>
      <c r="AM141" s="153"/>
      <c r="AN141" s="153"/>
      <c r="AO141" s="153"/>
      <c r="AP141" s="153"/>
      <c r="AQ141" s="153"/>
      <c r="AR141" s="153"/>
      <c r="AS141" s="153"/>
      <c r="AT141" s="153"/>
      <c r="AU141" s="153"/>
      <c r="AV141" s="153"/>
      <c r="AW141" s="153"/>
      <c r="AX141" s="153"/>
      <c r="AY141" s="153"/>
      <c r="AZ141" s="153"/>
      <c r="BA141" s="153"/>
      <c r="BB141" s="153"/>
      <c r="BC141" s="153"/>
      <c r="BD141" s="153"/>
      <c r="BE141" s="153"/>
      <c r="BF141" s="153"/>
      <c r="BG141" s="153"/>
      <c r="BH141" s="153"/>
      <c r="BI141" s="153"/>
      <c r="BJ141" s="153"/>
      <c r="BK141" s="153"/>
      <c r="BL141" s="153"/>
      <c r="BM141" s="153"/>
      <c r="BN141" s="153"/>
      <c r="BO141" s="153"/>
      <c r="BP141" s="153"/>
      <c r="BQ141" s="153"/>
    </row>
    <row r="142" spans="1:69" x14ac:dyDescent="0.2">
      <c r="A142" s="153"/>
      <c r="B142" s="153"/>
      <c r="C142" s="153"/>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c r="AA142" s="153"/>
      <c r="AB142" s="153"/>
      <c r="AC142" s="153"/>
      <c r="AD142" s="153"/>
      <c r="AE142" s="153"/>
      <c r="AF142" s="153"/>
      <c r="AG142" s="153"/>
      <c r="AH142" s="153"/>
      <c r="AI142" s="153"/>
      <c r="AJ142" s="153"/>
      <c r="AK142" s="153"/>
      <c r="AL142" s="153"/>
      <c r="AM142" s="153"/>
      <c r="AN142" s="153"/>
      <c r="AO142" s="153"/>
      <c r="AP142" s="153"/>
      <c r="AQ142" s="153"/>
      <c r="AR142" s="153"/>
      <c r="AS142" s="153"/>
      <c r="AT142" s="153"/>
      <c r="AU142" s="153"/>
      <c r="AV142" s="153"/>
      <c r="AW142" s="153"/>
      <c r="AX142" s="153"/>
      <c r="AY142" s="153"/>
      <c r="AZ142" s="153"/>
      <c r="BA142" s="153"/>
      <c r="BB142" s="153"/>
      <c r="BC142" s="153"/>
      <c r="BD142" s="153"/>
      <c r="BE142" s="153"/>
      <c r="BF142" s="153"/>
      <c r="BG142" s="153"/>
      <c r="BH142" s="153"/>
      <c r="BI142" s="153"/>
      <c r="BJ142" s="153"/>
      <c r="BK142" s="153"/>
      <c r="BL142" s="153"/>
      <c r="BM142" s="153"/>
      <c r="BN142" s="153"/>
      <c r="BO142" s="153"/>
      <c r="BP142" s="153"/>
      <c r="BQ142" s="153"/>
    </row>
    <row r="143" spans="1:69" x14ac:dyDescent="0.2">
      <c r="A143" s="153"/>
      <c r="B143" s="153"/>
      <c r="C143" s="153"/>
      <c r="D143" s="153"/>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c r="AA143" s="153"/>
      <c r="AB143" s="153"/>
      <c r="AC143" s="153"/>
      <c r="AD143" s="153"/>
      <c r="AE143" s="153"/>
      <c r="AF143" s="153"/>
      <c r="AG143" s="153"/>
      <c r="AH143" s="153"/>
      <c r="AI143" s="153"/>
      <c r="AJ143" s="153"/>
      <c r="AK143" s="153"/>
      <c r="AL143" s="153"/>
      <c r="AM143" s="153"/>
      <c r="AN143" s="153"/>
      <c r="AO143" s="153"/>
      <c r="AP143" s="153"/>
      <c r="AQ143" s="153"/>
      <c r="AR143" s="153"/>
      <c r="AS143" s="153"/>
      <c r="AT143" s="153"/>
      <c r="AU143" s="153"/>
      <c r="AV143" s="153"/>
      <c r="AW143" s="153"/>
      <c r="AX143" s="153"/>
      <c r="AY143" s="153"/>
      <c r="AZ143" s="153"/>
      <c r="BA143" s="153"/>
      <c r="BB143" s="153"/>
      <c r="BC143" s="153"/>
      <c r="BD143" s="153"/>
      <c r="BE143" s="153"/>
      <c r="BF143" s="153"/>
      <c r="BG143" s="153"/>
      <c r="BH143" s="153"/>
      <c r="BI143" s="153"/>
      <c r="BJ143" s="153"/>
      <c r="BK143" s="153"/>
      <c r="BL143" s="153"/>
      <c r="BM143" s="153"/>
      <c r="BN143" s="153"/>
      <c r="BO143" s="153"/>
      <c r="BP143" s="153"/>
      <c r="BQ143" s="153"/>
    </row>
    <row r="144" spans="1:69" x14ac:dyDescent="0.2">
      <c r="A144" s="153"/>
      <c r="B144" s="153"/>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c r="AA144" s="153"/>
      <c r="AB144" s="153"/>
      <c r="AC144" s="153"/>
      <c r="AD144" s="153"/>
      <c r="AE144" s="153"/>
      <c r="AF144" s="153"/>
      <c r="AG144" s="153"/>
      <c r="AH144" s="153"/>
      <c r="AI144" s="153"/>
      <c r="AJ144" s="153"/>
      <c r="AK144" s="153"/>
      <c r="AL144" s="153"/>
      <c r="AM144" s="153"/>
      <c r="AN144" s="153"/>
      <c r="AO144" s="153"/>
      <c r="AP144" s="153"/>
      <c r="AQ144" s="153"/>
      <c r="AR144" s="153"/>
      <c r="AS144" s="153"/>
      <c r="AT144" s="153"/>
      <c r="AU144" s="153"/>
      <c r="AV144" s="153"/>
      <c r="AW144" s="153"/>
      <c r="AX144" s="153"/>
      <c r="AY144" s="153"/>
      <c r="AZ144" s="153"/>
      <c r="BA144" s="153"/>
      <c r="BB144" s="153"/>
      <c r="BC144" s="153"/>
      <c r="BD144" s="153"/>
      <c r="BE144" s="153"/>
      <c r="BF144" s="153"/>
      <c r="BG144" s="153"/>
      <c r="BH144" s="153"/>
      <c r="BI144" s="153"/>
      <c r="BJ144" s="153"/>
      <c r="BK144" s="153"/>
      <c r="BL144" s="153"/>
      <c r="BM144" s="153"/>
      <c r="BN144" s="153"/>
      <c r="BO144" s="153"/>
      <c r="BP144" s="153"/>
      <c r="BQ144" s="153"/>
    </row>
    <row r="145" spans="1:69" x14ac:dyDescent="0.2">
      <c r="A145" s="153"/>
      <c r="B145" s="153"/>
      <c r="C145" s="153"/>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c r="AA145" s="153"/>
      <c r="AB145" s="153"/>
      <c r="AC145" s="153"/>
      <c r="AD145" s="153"/>
      <c r="AE145" s="153"/>
      <c r="AF145" s="153"/>
      <c r="AG145" s="153"/>
      <c r="AH145" s="153"/>
      <c r="AI145" s="153"/>
      <c r="AJ145" s="153"/>
      <c r="AK145" s="153"/>
      <c r="AL145" s="153"/>
      <c r="AM145" s="153"/>
      <c r="AN145" s="153"/>
      <c r="AO145" s="153"/>
      <c r="AP145" s="153"/>
      <c r="AQ145" s="153"/>
      <c r="AR145" s="153"/>
      <c r="AS145" s="153"/>
      <c r="AT145" s="153"/>
      <c r="AU145" s="153"/>
      <c r="AV145" s="153"/>
      <c r="AW145" s="153"/>
      <c r="AX145" s="153"/>
      <c r="AY145" s="153"/>
      <c r="AZ145" s="153"/>
      <c r="BA145" s="153"/>
      <c r="BB145" s="153"/>
      <c r="BC145" s="153"/>
      <c r="BD145" s="153"/>
      <c r="BE145" s="153"/>
      <c r="BF145" s="153"/>
      <c r="BG145" s="153"/>
      <c r="BH145" s="153"/>
      <c r="BI145" s="153"/>
      <c r="BJ145" s="153"/>
      <c r="BK145" s="153"/>
      <c r="BL145" s="153"/>
      <c r="BM145" s="153"/>
      <c r="BN145" s="153"/>
      <c r="BO145" s="153"/>
      <c r="BP145" s="153"/>
      <c r="BQ145" s="153"/>
    </row>
    <row r="146" spans="1:69" x14ac:dyDescent="0.2">
      <c r="A146" s="153"/>
      <c r="B146" s="153"/>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153"/>
      <c r="AP146" s="153"/>
      <c r="AQ146" s="153"/>
      <c r="AR146" s="153"/>
      <c r="AS146" s="153"/>
      <c r="AT146" s="153"/>
      <c r="AU146" s="153"/>
      <c r="AV146" s="153"/>
      <c r="AW146" s="153"/>
      <c r="AX146" s="153"/>
      <c r="AY146" s="153"/>
      <c r="AZ146" s="153"/>
      <c r="BA146" s="153"/>
      <c r="BB146" s="153"/>
      <c r="BC146" s="153"/>
      <c r="BD146" s="153"/>
      <c r="BE146" s="153"/>
      <c r="BF146" s="153"/>
      <c r="BG146" s="153"/>
      <c r="BH146" s="153"/>
      <c r="BI146" s="153"/>
      <c r="BJ146" s="153"/>
      <c r="BK146" s="153"/>
      <c r="BL146" s="153"/>
      <c r="BM146" s="153"/>
      <c r="BN146" s="153"/>
      <c r="BO146" s="153"/>
      <c r="BP146" s="153"/>
      <c r="BQ146" s="153"/>
    </row>
    <row r="147" spans="1:69" x14ac:dyDescent="0.2">
      <c r="A147" s="153"/>
      <c r="B147" s="153"/>
      <c r="C147" s="153"/>
      <c r="D147" s="153"/>
      <c r="E147" s="153"/>
      <c r="F147" s="153"/>
      <c r="G147" s="153"/>
      <c r="H147" s="153"/>
      <c r="I147" s="153"/>
      <c r="J147" s="153"/>
      <c r="K147" s="153"/>
      <c r="L147" s="153"/>
      <c r="M147" s="153"/>
      <c r="N147" s="153"/>
      <c r="O147" s="153"/>
      <c r="P147" s="153"/>
      <c r="Q147" s="153"/>
      <c r="R147" s="153"/>
      <c r="S147" s="153"/>
      <c r="T147" s="153"/>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153"/>
      <c r="AP147" s="153"/>
      <c r="AQ147" s="153"/>
      <c r="AR147" s="153"/>
      <c r="AS147" s="153"/>
      <c r="AT147" s="153"/>
      <c r="AU147" s="153"/>
      <c r="AV147" s="153"/>
      <c r="AW147" s="153"/>
      <c r="AX147" s="153"/>
      <c r="AY147" s="153"/>
      <c r="AZ147" s="153"/>
      <c r="BA147" s="153"/>
      <c r="BB147" s="153"/>
      <c r="BC147" s="153"/>
      <c r="BD147" s="153"/>
      <c r="BE147" s="153"/>
      <c r="BF147" s="153"/>
      <c r="BG147" s="153"/>
      <c r="BH147" s="153"/>
      <c r="BI147" s="153"/>
      <c r="BJ147" s="153"/>
      <c r="BK147" s="153"/>
      <c r="BL147" s="153"/>
      <c r="BM147" s="153"/>
      <c r="BN147" s="153"/>
      <c r="BO147" s="153"/>
      <c r="BP147" s="153"/>
      <c r="BQ147" s="153"/>
    </row>
    <row r="148" spans="1:69" x14ac:dyDescent="0.2">
      <c r="A148" s="153"/>
      <c r="B148" s="153"/>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c r="AA148" s="153"/>
      <c r="AB148" s="153"/>
      <c r="AC148" s="153"/>
      <c r="AD148" s="153"/>
      <c r="AE148" s="153"/>
      <c r="AF148" s="153"/>
      <c r="AG148" s="153"/>
      <c r="AH148" s="153"/>
      <c r="AI148" s="153"/>
      <c r="AJ148" s="153"/>
      <c r="AK148" s="153"/>
      <c r="AL148" s="153"/>
      <c r="AM148" s="153"/>
      <c r="AN148" s="153"/>
      <c r="AO148" s="153"/>
      <c r="AP148" s="153"/>
      <c r="AQ148" s="153"/>
      <c r="AR148" s="153"/>
      <c r="AS148" s="153"/>
      <c r="AT148" s="153"/>
      <c r="AU148" s="153"/>
      <c r="AV148" s="153"/>
      <c r="AW148" s="153"/>
      <c r="AX148" s="153"/>
      <c r="AY148" s="153"/>
      <c r="AZ148" s="153"/>
      <c r="BA148" s="153"/>
      <c r="BB148" s="153"/>
      <c r="BC148" s="153"/>
      <c r="BD148" s="153"/>
      <c r="BE148" s="153"/>
      <c r="BF148" s="153"/>
      <c r="BG148" s="153"/>
      <c r="BH148" s="153"/>
      <c r="BI148" s="153"/>
      <c r="BJ148" s="153"/>
      <c r="BK148" s="153"/>
      <c r="BL148" s="153"/>
      <c r="BM148" s="153"/>
      <c r="BN148" s="153"/>
      <c r="BO148" s="153"/>
      <c r="BP148" s="153"/>
      <c r="BQ148" s="153"/>
    </row>
    <row r="149" spans="1:69" x14ac:dyDescent="0.2">
      <c r="A149" s="153"/>
      <c r="B149" s="153"/>
      <c r="C149" s="153"/>
      <c r="D149" s="153"/>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c r="AA149" s="153"/>
      <c r="AB149" s="153"/>
      <c r="AC149" s="153"/>
      <c r="AD149" s="153"/>
      <c r="AE149" s="153"/>
      <c r="AF149" s="153"/>
      <c r="AG149" s="153"/>
      <c r="AH149" s="153"/>
      <c r="AI149" s="153"/>
      <c r="AJ149" s="153"/>
      <c r="AK149" s="153"/>
      <c r="AL149" s="153"/>
      <c r="AM149" s="153"/>
      <c r="AN149" s="153"/>
      <c r="AO149" s="153"/>
      <c r="AP149" s="153"/>
      <c r="AQ149" s="153"/>
      <c r="AR149" s="153"/>
      <c r="AS149" s="153"/>
      <c r="AT149" s="153"/>
      <c r="AU149" s="153"/>
      <c r="AV149" s="153"/>
      <c r="AW149" s="153"/>
      <c r="AX149" s="153"/>
      <c r="AY149" s="153"/>
      <c r="AZ149" s="153"/>
      <c r="BA149" s="153"/>
      <c r="BB149" s="153"/>
      <c r="BC149" s="153"/>
      <c r="BD149" s="153"/>
      <c r="BE149" s="153"/>
      <c r="BF149" s="153"/>
      <c r="BG149" s="153"/>
      <c r="BH149" s="153"/>
      <c r="BI149" s="153"/>
      <c r="BJ149" s="153"/>
      <c r="BK149" s="153"/>
      <c r="BL149" s="153"/>
      <c r="BM149" s="153"/>
      <c r="BN149" s="153"/>
      <c r="BO149" s="153"/>
      <c r="BP149" s="153"/>
      <c r="BQ149" s="153"/>
    </row>
    <row r="150" spans="1:69" x14ac:dyDescent="0.2">
      <c r="A150" s="153"/>
      <c r="B150" s="153"/>
      <c r="C150" s="153"/>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c r="AA150" s="153"/>
      <c r="AB150" s="153"/>
      <c r="AC150" s="153"/>
      <c r="AD150" s="153"/>
      <c r="AE150" s="153"/>
      <c r="AF150" s="153"/>
      <c r="AG150" s="153"/>
      <c r="AH150" s="153"/>
      <c r="AI150" s="153"/>
      <c r="AJ150" s="153"/>
      <c r="AK150" s="153"/>
      <c r="AL150" s="153"/>
      <c r="AM150" s="153"/>
      <c r="AN150" s="153"/>
      <c r="AO150" s="153"/>
      <c r="AP150" s="153"/>
      <c r="AQ150" s="153"/>
      <c r="AR150" s="153"/>
      <c r="AS150" s="153"/>
      <c r="AT150" s="153"/>
      <c r="AU150" s="153"/>
      <c r="AV150" s="153"/>
      <c r="AW150" s="153"/>
      <c r="AX150" s="153"/>
      <c r="AY150" s="153"/>
      <c r="AZ150" s="153"/>
      <c r="BA150" s="153"/>
      <c r="BB150" s="153"/>
      <c r="BC150" s="153"/>
      <c r="BD150" s="153"/>
      <c r="BE150" s="153"/>
      <c r="BF150" s="153"/>
      <c r="BG150" s="153"/>
      <c r="BH150" s="153"/>
      <c r="BI150" s="153"/>
      <c r="BJ150" s="153"/>
      <c r="BK150" s="153"/>
      <c r="BL150" s="153"/>
      <c r="BM150" s="153"/>
      <c r="BN150" s="153"/>
      <c r="BO150" s="153"/>
      <c r="BP150" s="153"/>
      <c r="BQ150" s="153"/>
    </row>
    <row r="151" spans="1:69" x14ac:dyDescent="0.2">
      <c r="A151" s="153"/>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c r="AA151" s="153"/>
      <c r="AB151" s="153"/>
      <c r="AC151" s="153"/>
      <c r="AD151" s="153"/>
      <c r="AE151" s="153"/>
      <c r="AF151" s="153"/>
      <c r="AG151" s="153"/>
      <c r="AH151" s="153"/>
      <c r="AI151" s="153"/>
      <c r="AJ151" s="153"/>
      <c r="AK151" s="153"/>
      <c r="AL151" s="153"/>
      <c r="AM151" s="153"/>
      <c r="AN151" s="153"/>
      <c r="AO151" s="153"/>
      <c r="AP151" s="153"/>
      <c r="AQ151" s="153"/>
      <c r="AR151" s="153"/>
      <c r="AS151" s="153"/>
      <c r="AT151" s="153"/>
      <c r="AU151" s="153"/>
      <c r="AV151" s="153"/>
      <c r="AW151" s="153"/>
      <c r="AX151" s="153"/>
      <c r="AY151" s="153"/>
      <c r="AZ151" s="153"/>
      <c r="BA151" s="153"/>
      <c r="BB151" s="153"/>
      <c r="BC151" s="153"/>
      <c r="BD151" s="153"/>
      <c r="BE151" s="153"/>
      <c r="BF151" s="153"/>
      <c r="BG151" s="153"/>
      <c r="BH151" s="153"/>
      <c r="BI151" s="153"/>
      <c r="BJ151" s="153"/>
      <c r="BK151" s="153"/>
      <c r="BL151" s="153"/>
      <c r="BM151" s="153"/>
      <c r="BN151" s="153"/>
      <c r="BO151" s="153"/>
      <c r="BP151" s="153"/>
      <c r="BQ151" s="153"/>
    </row>
    <row r="152" spans="1:69" x14ac:dyDescent="0.2">
      <c r="A152" s="153"/>
      <c r="B152" s="153"/>
      <c r="C152" s="153"/>
      <c r="D152" s="153"/>
      <c r="E152" s="153"/>
      <c r="F152" s="153"/>
      <c r="G152" s="153"/>
      <c r="H152" s="153"/>
      <c r="I152" s="153"/>
      <c r="J152" s="153"/>
      <c r="K152" s="153"/>
      <c r="L152" s="153"/>
      <c r="M152" s="153"/>
      <c r="N152" s="153"/>
      <c r="O152" s="153"/>
      <c r="P152" s="153"/>
      <c r="Q152" s="153"/>
      <c r="R152" s="153"/>
      <c r="S152" s="153"/>
      <c r="T152" s="153"/>
      <c r="U152" s="153"/>
      <c r="V152" s="153"/>
      <c r="W152" s="153"/>
      <c r="X152" s="153"/>
      <c r="Y152" s="153"/>
      <c r="Z152" s="153"/>
      <c r="AA152" s="153"/>
      <c r="AB152" s="153"/>
      <c r="AC152" s="153"/>
      <c r="AD152" s="153"/>
      <c r="AE152" s="153"/>
      <c r="AF152" s="153"/>
      <c r="AG152" s="153"/>
      <c r="AH152" s="153"/>
      <c r="AI152" s="153"/>
      <c r="AJ152" s="153"/>
      <c r="AK152" s="153"/>
      <c r="AL152" s="153"/>
      <c r="AM152" s="153"/>
      <c r="AN152" s="153"/>
      <c r="AO152" s="153"/>
      <c r="AP152" s="153"/>
      <c r="AQ152" s="153"/>
      <c r="AR152" s="153"/>
      <c r="AS152" s="153"/>
      <c r="AT152" s="153"/>
      <c r="AU152" s="153"/>
      <c r="AV152" s="153"/>
      <c r="AW152" s="153"/>
      <c r="AX152" s="153"/>
      <c r="AY152" s="153"/>
      <c r="AZ152" s="153"/>
      <c r="BA152" s="153"/>
      <c r="BB152" s="153"/>
      <c r="BC152" s="153"/>
      <c r="BD152" s="153"/>
      <c r="BE152" s="153"/>
      <c r="BF152" s="153"/>
      <c r="BG152" s="153"/>
      <c r="BH152" s="153"/>
      <c r="BI152" s="153"/>
      <c r="BJ152" s="153"/>
      <c r="BK152" s="153"/>
      <c r="BL152" s="153"/>
      <c r="BM152" s="153"/>
      <c r="BN152" s="153"/>
      <c r="BO152" s="153"/>
      <c r="BP152" s="153"/>
      <c r="BQ152" s="153"/>
    </row>
    <row r="153" spans="1:69" x14ac:dyDescent="0.2">
      <c r="A153" s="153"/>
      <c r="B153" s="153"/>
      <c r="C153" s="153"/>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c r="AA153" s="153"/>
      <c r="AB153" s="153"/>
      <c r="AC153" s="153"/>
      <c r="AD153" s="153"/>
      <c r="AE153" s="153"/>
      <c r="AF153" s="153"/>
      <c r="AG153" s="153"/>
      <c r="AH153" s="153"/>
      <c r="AI153" s="153"/>
      <c r="AJ153" s="153"/>
      <c r="AK153" s="153"/>
      <c r="AL153" s="153"/>
      <c r="AM153" s="153"/>
      <c r="AN153" s="153"/>
      <c r="AO153" s="153"/>
      <c r="AP153" s="153"/>
      <c r="AQ153" s="153"/>
      <c r="AR153" s="153"/>
      <c r="AS153" s="153"/>
      <c r="AT153" s="153"/>
      <c r="AU153" s="153"/>
      <c r="AV153" s="153"/>
      <c r="AW153" s="153"/>
      <c r="AX153" s="153"/>
      <c r="AY153" s="153"/>
      <c r="AZ153" s="153"/>
      <c r="BA153" s="153"/>
      <c r="BB153" s="153"/>
      <c r="BC153" s="153"/>
      <c r="BD153" s="153"/>
      <c r="BE153" s="153"/>
      <c r="BF153" s="153"/>
      <c r="BG153" s="153"/>
      <c r="BH153" s="153"/>
      <c r="BI153" s="153"/>
      <c r="BJ153" s="153"/>
      <c r="BK153" s="153"/>
      <c r="BL153" s="153"/>
      <c r="BM153" s="153"/>
      <c r="BN153" s="153"/>
      <c r="BO153" s="153"/>
      <c r="BP153" s="153"/>
      <c r="BQ153" s="153"/>
    </row>
    <row r="154" spans="1:69" x14ac:dyDescent="0.2">
      <c r="A154" s="153"/>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c r="AA154" s="153"/>
      <c r="AB154" s="153"/>
      <c r="AC154" s="153"/>
      <c r="AD154" s="153"/>
      <c r="AE154" s="153"/>
      <c r="AF154" s="153"/>
      <c r="AG154" s="153"/>
      <c r="AH154" s="153"/>
      <c r="AI154" s="153"/>
      <c r="AJ154" s="153"/>
      <c r="AK154" s="153"/>
      <c r="AL154" s="153"/>
      <c r="AM154" s="153"/>
      <c r="AN154" s="153"/>
      <c r="AO154" s="153"/>
      <c r="AP154" s="153"/>
      <c r="AQ154" s="153"/>
      <c r="AR154" s="153"/>
      <c r="AS154" s="153"/>
      <c r="AT154" s="153"/>
      <c r="AU154" s="153"/>
      <c r="AV154" s="153"/>
      <c r="AW154" s="153"/>
      <c r="AX154" s="153"/>
      <c r="AY154" s="153"/>
      <c r="AZ154" s="153"/>
      <c r="BA154" s="153"/>
      <c r="BB154" s="153"/>
      <c r="BC154" s="153"/>
      <c r="BD154" s="153"/>
      <c r="BE154" s="153"/>
      <c r="BF154" s="153"/>
      <c r="BG154" s="153"/>
      <c r="BH154" s="153"/>
      <c r="BI154" s="153"/>
      <c r="BJ154" s="153"/>
      <c r="BK154" s="153"/>
      <c r="BL154" s="153"/>
      <c r="BM154" s="153"/>
      <c r="BN154" s="153"/>
      <c r="BO154" s="153"/>
      <c r="BP154" s="153"/>
      <c r="BQ154" s="153"/>
    </row>
    <row r="155" spans="1:69" x14ac:dyDescent="0.2">
      <c r="A155" s="153"/>
      <c r="B155" s="153"/>
      <c r="C155" s="153"/>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c r="AA155" s="153"/>
      <c r="AB155" s="153"/>
      <c r="AC155" s="153"/>
      <c r="AD155" s="153"/>
      <c r="AE155" s="153"/>
      <c r="AF155" s="153"/>
      <c r="AG155" s="153"/>
      <c r="AH155" s="153"/>
      <c r="AI155" s="153"/>
      <c r="AJ155" s="153"/>
      <c r="AK155" s="153"/>
      <c r="AL155" s="153"/>
      <c r="AM155" s="153"/>
      <c r="AN155" s="153"/>
      <c r="AO155" s="153"/>
      <c r="AP155" s="153"/>
      <c r="AQ155" s="153"/>
      <c r="AR155" s="153"/>
      <c r="AS155" s="153"/>
      <c r="AT155" s="153"/>
      <c r="AU155" s="153"/>
      <c r="AV155" s="153"/>
      <c r="AW155" s="153"/>
      <c r="AX155" s="153"/>
      <c r="AY155" s="153"/>
      <c r="AZ155" s="153"/>
      <c r="BA155" s="153"/>
      <c r="BB155" s="153"/>
      <c r="BC155" s="153"/>
      <c r="BD155" s="153"/>
      <c r="BE155" s="153"/>
      <c r="BF155" s="153"/>
      <c r="BG155" s="153"/>
      <c r="BH155" s="153"/>
      <c r="BI155" s="153"/>
      <c r="BJ155" s="153"/>
      <c r="BK155" s="153"/>
      <c r="BL155" s="153"/>
      <c r="BM155" s="153"/>
      <c r="BN155" s="153"/>
      <c r="BO155" s="153"/>
      <c r="BP155" s="153"/>
      <c r="BQ155" s="153"/>
    </row>
    <row r="156" spans="1:69" x14ac:dyDescent="0.2">
      <c r="A156" s="153"/>
      <c r="B156" s="153"/>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c r="AA156" s="153"/>
      <c r="AB156" s="153"/>
      <c r="AC156" s="153"/>
      <c r="AD156" s="153"/>
      <c r="AE156" s="153"/>
      <c r="AF156" s="153"/>
      <c r="AG156" s="153"/>
      <c r="AH156" s="153"/>
      <c r="AI156" s="153"/>
      <c r="AJ156" s="153"/>
      <c r="AK156" s="153"/>
      <c r="AL156" s="153"/>
      <c r="AM156" s="153"/>
      <c r="AN156" s="153"/>
      <c r="AO156" s="153"/>
      <c r="AP156" s="153"/>
      <c r="AQ156" s="153"/>
      <c r="AR156" s="153"/>
      <c r="AS156" s="153"/>
      <c r="AT156" s="153"/>
      <c r="AU156" s="153"/>
      <c r="AV156" s="153"/>
      <c r="AW156" s="153"/>
      <c r="AX156" s="153"/>
      <c r="AY156" s="153"/>
      <c r="AZ156" s="153"/>
      <c r="BA156" s="153"/>
      <c r="BB156" s="153"/>
      <c r="BC156" s="153"/>
      <c r="BD156" s="153"/>
      <c r="BE156" s="153"/>
      <c r="BF156" s="153"/>
      <c r="BG156" s="153"/>
      <c r="BH156" s="153"/>
      <c r="BI156" s="153"/>
      <c r="BJ156" s="153"/>
      <c r="BK156" s="153"/>
      <c r="BL156" s="153"/>
      <c r="BM156" s="153"/>
      <c r="BN156" s="153"/>
      <c r="BO156" s="153"/>
      <c r="BP156" s="153"/>
      <c r="BQ156" s="153"/>
    </row>
    <row r="157" spans="1:69" x14ac:dyDescent="0.2">
      <c r="A157" s="153"/>
      <c r="B157" s="153"/>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c r="AA157" s="153"/>
      <c r="AB157" s="153"/>
      <c r="AC157" s="153"/>
      <c r="AD157" s="153"/>
      <c r="AE157" s="153"/>
      <c r="AF157" s="153"/>
      <c r="AG157" s="153"/>
      <c r="AH157" s="153"/>
      <c r="AI157" s="153"/>
      <c r="AJ157" s="153"/>
      <c r="AK157" s="153"/>
      <c r="AL157" s="153"/>
      <c r="AM157" s="153"/>
      <c r="AN157" s="153"/>
      <c r="AO157" s="153"/>
      <c r="AP157" s="153"/>
      <c r="AQ157" s="153"/>
      <c r="AR157" s="153"/>
      <c r="AS157" s="153"/>
      <c r="AT157" s="153"/>
      <c r="AU157" s="153"/>
      <c r="AV157" s="153"/>
      <c r="AW157" s="153"/>
      <c r="AX157" s="153"/>
      <c r="AY157" s="153"/>
      <c r="AZ157" s="153"/>
      <c r="BA157" s="153"/>
      <c r="BB157" s="153"/>
      <c r="BC157" s="153"/>
      <c r="BD157" s="153"/>
      <c r="BE157" s="153"/>
      <c r="BF157" s="153"/>
      <c r="BG157" s="153"/>
      <c r="BH157" s="153"/>
      <c r="BI157" s="153"/>
      <c r="BJ157" s="153"/>
      <c r="BK157" s="153"/>
      <c r="BL157" s="153"/>
      <c r="BM157" s="153"/>
      <c r="BN157" s="153"/>
      <c r="BO157" s="153"/>
      <c r="BP157" s="153"/>
      <c r="BQ157" s="153"/>
    </row>
    <row r="158" spans="1:69" x14ac:dyDescent="0.2">
      <c r="A158" s="153"/>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c r="AA158" s="153"/>
      <c r="AB158" s="153"/>
      <c r="AC158" s="153"/>
      <c r="AD158" s="153"/>
      <c r="AE158" s="153"/>
      <c r="AF158" s="153"/>
      <c r="AG158" s="153"/>
      <c r="AH158" s="153"/>
      <c r="AI158" s="153"/>
      <c r="AJ158" s="153"/>
      <c r="AK158" s="153"/>
      <c r="AL158" s="153"/>
      <c r="AM158" s="153"/>
      <c r="AN158" s="153"/>
      <c r="AO158" s="153"/>
      <c r="AP158" s="153"/>
      <c r="AQ158" s="153"/>
      <c r="AR158" s="153"/>
      <c r="AS158" s="153"/>
      <c r="AT158" s="153"/>
      <c r="AU158" s="153"/>
      <c r="AV158" s="153"/>
      <c r="AW158" s="153"/>
      <c r="AX158" s="153"/>
      <c r="AY158" s="153"/>
      <c r="AZ158" s="153"/>
      <c r="BA158" s="153"/>
      <c r="BB158" s="153"/>
      <c r="BC158" s="153"/>
      <c r="BD158" s="153"/>
      <c r="BE158" s="153"/>
      <c r="BF158" s="153"/>
      <c r="BG158" s="153"/>
      <c r="BH158" s="153"/>
      <c r="BI158" s="153"/>
      <c r="BJ158" s="153"/>
      <c r="BK158" s="153"/>
      <c r="BL158" s="153"/>
      <c r="BM158" s="153"/>
      <c r="BN158" s="153"/>
      <c r="BO158" s="153"/>
      <c r="BP158" s="153"/>
      <c r="BQ158" s="153"/>
    </row>
    <row r="159" spans="1:69" x14ac:dyDescent="0.2">
      <c r="A159" s="153"/>
      <c r="B159" s="153"/>
      <c r="C159" s="153"/>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c r="AA159" s="153"/>
      <c r="AB159" s="153"/>
      <c r="AC159" s="153"/>
      <c r="AD159" s="153"/>
      <c r="AE159" s="153"/>
      <c r="AF159" s="153"/>
      <c r="AG159" s="153"/>
      <c r="AH159" s="153"/>
      <c r="AI159" s="153"/>
      <c r="AJ159" s="153"/>
      <c r="AK159" s="153"/>
      <c r="AL159" s="153"/>
      <c r="AM159" s="153"/>
      <c r="AN159" s="153"/>
      <c r="AO159" s="153"/>
      <c r="AP159" s="153"/>
      <c r="AQ159" s="153"/>
      <c r="AR159" s="153"/>
      <c r="AS159" s="153"/>
      <c r="AT159" s="153"/>
      <c r="AU159" s="153"/>
      <c r="AV159" s="153"/>
      <c r="AW159" s="153"/>
      <c r="AX159" s="153"/>
      <c r="AY159" s="153"/>
      <c r="AZ159" s="153"/>
      <c r="BA159" s="153"/>
      <c r="BB159" s="153"/>
      <c r="BC159" s="153"/>
      <c r="BD159" s="153"/>
      <c r="BE159" s="153"/>
      <c r="BF159" s="153"/>
      <c r="BG159" s="153"/>
      <c r="BH159" s="153"/>
      <c r="BI159" s="153"/>
      <c r="BJ159" s="153"/>
      <c r="BK159" s="153"/>
      <c r="BL159" s="153"/>
      <c r="BM159" s="153"/>
      <c r="BN159" s="153"/>
      <c r="BO159" s="153"/>
      <c r="BP159" s="153"/>
      <c r="BQ159" s="153"/>
    </row>
    <row r="160" spans="1:69" x14ac:dyDescent="0.2">
      <c r="A160" s="153"/>
      <c r="B160" s="153"/>
      <c r="C160" s="153"/>
      <c r="D160" s="153"/>
      <c r="E160" s="153"/>
      <c r="F160" s="153"/>
      <c r="G160" s="153"/>
      <c r="H160" s="153"/>
      <c r="I160" s="153"/>
      <c r="J160" s="153"/>
      <c r="K160" s="153"/>
      <c r="L160" s="153"/>
      <c r="M160" s="153"/>
      <c r="N160" s="153"/>
      <c r="O160" s="153"/>
      <c r="P160" s="153"/>
      <c r="Q160" s="153"/>
      <c r="R160" s="153"/>
      <c r="S160" s="153"/>
      <c r="T160" s="153"/>
      <c r="U160" s="153"/>
      <c r="V160" s="153"/>
      <c r="W160" s="153"/>
      <c r="X160" s="153"/>
      <c r="Y160" s="153"/>
      <c r="Z160" s="153"/>
      <c r="AA160" s="153"/>
      <c r="AB160" s="153"/>
      <c r="AC160" s="153"/>
      <c r="AD160" s="153"/>
      <c r="AE160" s="153"/>
      <c r="AF160" s="153"/>
      <c r="AG160" s="153"/>
      <c r="AH160" s="153"/>
      <c r="AI160" s="153"/>
      <c r="AJ160" s="153"/>
      <c r="AK160" s="153"/>
      <c r="AL160" s="153"/>
      <c r="AM160" s="153"/>
      <c r="AN160" s="153"/>
      <c r="AO160" s="153"/>
      <c r="AP160" s="153"/>
      <c r="AQ160" s="153"/>
      <c r="AR160" s="153"/>
      <c r="AS160" s="153"/>
      <c r="AT160" s="153"/>
      <c r="AU160" s="153"/>
      <c r="AV160" s="153"/>
      <c r="AW160" s="153"/>
      <c r="AX160" s="153"/>
      <c r="AY160" s="153"/>
      <c r="AZ160" s="153"/>
      <c r="BA160" s="153"/>
      <c r="BB160" s="153"/>
      <c r="BC160" s="153"/>
      <c r="BD160" s="153"/>
      <c r="BE160" s="153"/>
      <c r="BF160" s="153"/>
      <c r="BG160" s="153"/>
      <c r="BH160" s="153"/>
      <c r="BI160" s="153"/>
      <c r="BJ160" s="153"/>
      <c r="BK160" s="153"/>
      <c r="BL160" s="153"/>
      <c r="BM160" s="153"/>
      <c r="BN160" s="153"/>
      <c r="BO160" s="153"/>
      <c r="BP160" s="153"/>
      <c r="BQ160" s="153"/>
    </row>
    <row r="161" spans="1:69" x14ac:dyDescent="0.2">
      <c r="A161" s="153"/>
      <c r="B161" s="153"/>
      <c r="C161" s="153"/>
      <c r="D161" s="153"/>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c r="AA161" s="153"/>
      <c r="AB161" s="153"/>
      <c r="AC161" s="153"/>
      <c r="AD161" s="153"/>
      <c r="AE161" s="153"/>
      <c r="AF161" s="153"/>
      <c r="AG161" s="153"/>
      <c r="AH161" s="153"/>
      <c r="AI161" s="153"/>
      <c r="AJ161" s="153"/>
      <c r="AK161" s="153"/>
      <c r="AL161" s="153"/>
      <c r="AM161" s="153"/>
      <c r="AN161" s="153"/>
      <c r="AO161" s="153"/>
      <c r="AP161" s="153"/>
      <c r="AQ161" s="153"/>
      <c r="AR161" s="153"/>
      <c r="AS161" s="153"/>
      <c r="AT161" s="153"/>
      <c r="AU161" s="153"/>
      <c r="AV161" s="153"/>
      <c r="AW161" s="153"/>
      <c r="AX161" s="153"/>
      <c r="AY161" s="153"/>
      <c r="AZ161" s="153"/>
      <c r="BA161" s="153"/>
      <c r="BB161" s="153"/>
      <c r="BC161" s="153"/>
      <c r="BD161" s="153"/>
      <c r="BE161" s="153"/>
      <c r="BF161" s="153"/>
      <c r="BG161" s="153"/>
      <c r="BH161" s="153"/>
      <c r="BI161" s="153"/>
      <c r="BJ161" s="153"/>
      <c r="BK161" s="153"/>
      <c r="BL161" s="153"/>
      <c r="BM161" s="153"/>
      <c r="BN161" s="153"/>
      <c r="BO161" s="153"/>
      <c r="BP161" s="153"/>
      <c r="BQ161" s="153"/>
    </row>
    <row r="162" spans="1:69" x14ac:dyDescent="0.2">
      <c r="A162" s="153"/>
      <c r="B162" s="153"/>
      <c r="C162" s="153"/>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c r="AA162" s="153"/>
      <c r="AB162" s="153"/>
      <c r="AC162" s="153"/>
      <c r="AD162" s="153"/>
      <c r="AE162" s="153"/>
      <c r="AF162" s="153"/>
      <c r="AG162" s="153"/>
      <c r="AH162" s="153"/>
      <c r="AI162" s="153"/>
      <c r="AJ162" s="153"/>
      <c r="AK162" s="153"/>
      <c r="AL162" s="153"/>
      <c r="AM162" s="153"/>
      <c r="AN162" s="153"/>
      <c r="AO162" s="153"/>
      <c r="AP162" s="153"/>
      <c r="AQ162" s="153"/>
      <c r="AR162" s="153"/>
      <c r="AS162" s="153"/>
      <c r="AT162" s="153"/>
      <c r="AU162" s="153"/>
      <c r="AV162" s="153"/>
      <c r="AW162" s="153"/>
      <c r="AX162" s="153"/>
      <c r="AY162" s="153"/>
      <c r="AZ162" s="153"/>
      <c r="BA162" s="153"/>
      <c r="BB162" s="153"/>
      <c r="BC162" s="153"/>
      <c r="BD162" s="153"/>
      <c r="BE162" s="153"/>
      <c r="BF162" s="153"/>
      <c r="BG162" s="153"/>
      <c r="BH162" s="153"/>
      <c r="BI162" s="153"/>
      <c r="BJ162" s="153"/>
      <c r="BK162" s="153"/>
      <c r="BL162" s="153"/>
      <c r="BM162" s="153"/>
      <c r="BN162" s="153"/>
      <c r="BO162" s="153"/>
      <c r="BP162" s="153"/>
      <c r="BQ162" s="153"/>
    </row>
    <row r="163" spans="1:69" x14ac:dyDescent="0.2">
      <c r="A163" s="153"/>
      <c r="B163" s="153"/>
      <c r="C163" s="153"/>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c r="AA163" s="153"/>
      <c r="AB163" s="153"/>
      <c r="AC163" s="153"/>
      <c r="AD163" s="153"/>
      <c r="AE163" s="153"/>
      <c r="AF163" s="153"/>
      <c r="AG163" s="153"/>
      <c r="AH163" s="153"/>
      <c r="AI163" s="153"/>
      <c r="AJ163" s="153"/>
      <c r="AK163" s="153"/>
      <c r="AL163" s="153"/>
      <c r="AM163" s="153"/>
      <c r="AN163" s="153"/>
      <c r="AO163" s="153"/>
      <c r="AP163" s="153"/>
      <c r="AQ163" s="153"/>
      <c r="AR163" s="153"/>
      <c r="AS163" s="153"/>
      <c r="AT163" s="153"/>
      <c r="AU163" s="153"/>
      <c r="AV163" s="153"/>
      <c r="AW163" s="153"/>
      <c r="AX163" s="153"/>
      <c r="AY163" s="153"/>
      <c r="AZ163" s="153"/>
      <c r="BA163" s="153"/>
      <c r="BB163" s="153"/>
      <c r="BC163" s="153"/>
      <c r="BD163" s="153"/>
      <c r="BE163" s="153"/>
      <c r="BF163" s="153"/>
      <c r="BG163" s="153"/>
      <c r="BH163" s="153"/>
      <c r="BI163" s="153"/>
      <c r="BJ163" s="153"/>
      <c r="BK163" s="153"/>
      <c r="BL163" s="153"/>
      <c r="BM163" s="153"/>
      <c r="BN163" s="153"/>
      <c r="BO163" s="153"/>
      <c r="BP163" s="153"/>
      <c r="BQ163" s="153"/>
    </row>
    <row r="164" spans="1:69" x14ac:dyDescent="0.2">
      <c r="A164" s="153"/>
      <c r="B164" s="153"/>
      <c r="C164" s="153"/>
      <c r="D164" s="153"/>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c r="AA164" s="153"/>
      <c r="AB164" s="153"/>
      <c r="AC164" s="153"/>
      <c r="AD164" s="153"/>
      <c r="AE164" s="153"/>
      <c r="AF164" s="153"/>
      <c r="AG164" s="153"/>
      <c r="AH164" s="153"/>
      <c r="AI164" s="153"/>
      <c r="AJ164" s="153"/>
      <c r="AK164" s="153"/>
      <c r="AL164" s="153"/>
      <c r="AM164" s="153"/>
      <c r="AN164" s="153"/>
      <c r="AO164" s="153"/>
      <c r="AP164" s="153"/>
      <c r="AQ164" s="153"/>
      <c r="AR164" s="153"/>
      <c r="AS164" s="153"/>
      <c r="AT164" s="153"/>
      <c r="AU164" s="153"/>
      <c r="AV164" s="153"/>
      <c r="AW164" s="153"/>
      <c r="AX164" s="153"/>
      <c r="AY164" s="153"/>
      <c r="AZ164" s="153"/>
      <c r="BA164" s="153"/>
      <c r="BB164" s="153"/>
      <c r="BC164" s="153"/>
      <c r="BD164" s="153"/>
      <c r="BE164" s="153"/>
      <c r="BF164" s="153"/>
      <c r="BG164" s="153"/>
      <c r="BH164" s="153"/>
      <c r="BI164" s="153"/>
      <c r="BJ164" s="153"/>
      <c r="BK164" s="153"/>
      <c r="BL164" s="153"/>
      <c r="BM164" s="153"/>
      <c r="BN164" s="153"/>
      <c r="BO164" s="153"/>
      <c r="BP164" s="153"/>
      <c r="BQ164" s="153"/>
    </row>
    <row r="165" spans="1:69" x14ac:dyDescent="0.2">
      <c r="A165" s="153"/>
      <c r="B165" s="153"/>
      <c r="C165" s="153"/>
      <c r="D165" s="153"/>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c r="AA165" s="153"/>
      <c r="AB165" s="153"/>
      <c r="AC165" s="153"/>
      <c r="AD165" s="153"/>
      <c r="AE165" s="153"/>
      <c r="AF165" s="153"/>
      <c r="AG165" s="153"/>
      <c r="AH165" s="153"/>
      <c r="AI165" s="153"/>
      <c r="AJ165" s="153"/>
      <c r="AK165" s="153"/>
      <c r="AL165" s="153"/>
      <c r="AM165" s="153"/>
      <c r="AN165" s="153"/>
      <c r="AO165" s="153"/>
      <c r="AP165" s="153"/>
      <c r="AQ165" s="153"/>
      <c r="AR165" s="153"/>
      <c r="AS165" s="153"/>
      <c r="AT165" s="153"/>
      <c r="AU165" s="153"/>
      <c r="AV165" s="153"/>
      <c r="AW165" s="153"/>
      <c r="AX165" s="153"/>
      <c r="AY165" s="153"/>
      <c r="AZ165" s="153"/>
      <c r="BA165" s="153"/>
      <c r="BB165" s="153"/>
      <c r="BC165" s="153"/>
      <c r="BD165" s="153"/>
      <c r="BE165" s="153"/>
      <c r="BF165" s="153"/>
      <c r="BG165" s="153"/>
      <c r="BH165" s="153"/>
      <c r="BI165" s="153"/>
      <c r="BJ165" s="153"/>
      <c r="BK165" s="153"/>
      <c r="BL165" s="153"/>
      <c r="BM165" s="153"/>
      <c r="BN165" s="153"/>
      <c r="BO165" s="153"/>
      <c r="BP165" s="153"/>
      <c r="BQ165" s="153"/>
    </row>
    <row r="166" spans="1:69" x14ac:dyDescent="0.2">
      <c r="A166" s="153"/>
      <c r="B166" s="153"/>
      <c r="C166" s="153"/>
      <c r="D166" s="153"/>
      <c r="E166" s="153"/>
      <c r="F166" s="153"/>
      <c r="G166" s="153"/>
      <c r="H166" s="153"/>
      <c r="I166" s="153"/>
      <c r="J166" s="153"/>
      <c r="K166" s="153"/>
      <c r="L166" s="153"/>
      <c r="M166" s="153"/>
      <c r="N166" s="153"/>
      <c r="O166" s="153"/>
      <c r="P166" s="153"/>
      <c r="Q166" s="153"/>
      <c r="R166" s="153"/>
      <c r="S166" s="153"/>
      <c r="T166" s="153"/>
      <c r="U166" s="153"/>
      <c r="V166" s="153"/>
      <c r="W166" s="153"/>
      <c r="X166" s="153"/>
      <c r="Y166" s="153"/>
      <c r="Z166" s="153"/>
      <c r="AA166" s="153"/>
      <c r="AB166" s="153"/>
      <c r="AC166" s="153"/>
      <c r="AD166" s="153"/>
      <c r="AE166" s="153"/>
      <c r="AF166" s="153"/>
      <c r="AG166" s="153"/>
      <c r="AH166" s="153"/>
      <c r="AI166" s="153"/>
      <c r="AJ166" s="153"/>
      <c r="AK166" s="153"/>
      <c r="AL166" s="153"/>
      <c r="AM166" s="153"/>
      <c r="AN166" s="153"/>
      <c r="AO166" s="153"/>
      <c r="AP166" s="153"/>
      <c r="AQ166" s="153"/>
      <c r="AR166" s="153"/>
      <c r="AS166" s="153"/>
      <c r="AT166" s="153"/>
      <c r="AU166" s="153"/>
      <c r="AV166" s="153"/>
      <c r="AW166" s="153"/>
      <c r="AX166" s="153"/>
      <c r="AY166" s="153"/>
      <c r="AZ166" s="153"/>
      <c r="BA166" s="153"/>
      <c r="BB166" s="153"/>
      <c r="BC166" s="153"/>
      <c r="BD166" s="153"/>
      <c r="BE166" s="153"/>
      <c r="BF166" s="153"/>
      <c r="BG166" s="153"/>
      <c r="BH166" s="153"/>
      <c r="BI166" s="153"/>
      <c r="BJ166" s="153"/>
      <c r="BK166" s="153"/>
      <c r="BL166" s="153"/>
      <c r="BM166" s="153"/>
      <c r="BN166" s="153"/>
      <c r="BO166" s="153"/>
      <c r="BP166" s="153"/>
      <c r="BQ166" s="153"/>
    </row>
    <row r="167" spans="1:69" x14ac:dyDescent="0.2">
      <c r="A167" s="153"/>
      <c r="B167" s="153"/>
      <c r="C167" s="153"/>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c r="AA167" s="153"/>
      <c r="AB167" s="153"/>
      <c r="AC167" s="153"/>
      <c r="AD167" s="153"/>
      <c r="AE167" s="153"/>
      <c r="AF167" s="153"/>
      <c r="AG167" s="153"/>
      <c r="AH167" s="153"/>
      <c r="AI167" s="153"/>
      <c r="AJ167" s="153"/>
      <c r="AK167" s="153"/>
      <c r="AL167" s="153"/>
      <c r="AM167" s="153"/>
      <c r="AN167" s="153"/>
      <c r="AO167" s="153"/>
      <c r="AP167" s="153"/>
      <c r="AQ167" s="153"/>
      <c r="AR167" s="153"/>
      <c r="AS167" s="153"/>
      <c r="AT167" s="153"/>
      <c r="AU167" s="153"/>
      <c r="AV167" s="153"/>
      <c r="AW167" s="153"/>
      <c r="AX167" s="153"/>
      <c r="AY167" s="153"/>
      <c r="AZ167" s="153"/>
      <c r="BA167" s="153"/>
      <c r="BB167" s="153"/>
      <c r="BC167" s="153"/>
      <c r="BD167" s="153"/>
      <c r="BE167" s="153"/>
      <c r="BF167" s="153"/>
      <c r="BG167" s="153"/>
      <c r="BH167" s="153"/>
      <c r="BI167" s="153"/>
      <c r="BJ167" s="153"/>
      <c r="BK167" s="153"/>
      <c r="BL167" s="153"/>
      <c r="BM167" s="153"/>
      <c r="BN167" s="153"/>
      <c r="BO167" s="153"/>
      <c r="BP167" s="153"/>
      <c r="BQ167" s="153"/>
    </row>
    <row r="168" spans="1:69" x14ac:dyDescent="0.2">
      <c r="A168" s="153"/>
      <c r="B168" s="153"/>
      <c r="C168" s="153"/>
      <c r="D168" s="153"/>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c r="AA168" s="153"/>
      <c r="AB168" s="153"/>
      <c r="AC168" s="153"/>
      <c r="AD168" s="153"/>
      <c r="AE168" s="153"/>
      <c r="AF168" s="153"/>
      <c r="AG168" s="153"/>
      <c r="AH168" s="153"/>
      <c r="AI168" s="153"/>
      <c r="AJ168" s="153"/>
      <c r="AK168" s="153"/>
      <c r="AL168" s="153"/>
      <c r="AM168" s="153"/>
      <c r="AN168" s="153"/>
      <c r="AO168" s="153"/>
      <c r="AP168" s="153"/>
      <c r="AQ168" s="153"/>
      <c r="AR168" s="153"/>
      <c r="AS168" s="153"/>
      <c r="AT168" s="153"/>
      <c r="AU168" s="153"/>
      <c r="AV168" s="153"/>
      <c r="AW168" s="153"/>
      <c r="AX168" s="153"/>
      <c r="AY168" s="153"/>
      <c r="AZ168" s="153"/>
      <c r="BA168" s="153"/>
      <c r="BB168" s="153"/>
      <c r="BC168" s="153"/>
      <c r="BD168" s="153"/>
      <c r="BE168" s="153"/>
      <c r="BF168" s="153"/>
      <c r="BG168" s="153"/>
      <c r="BH168" s="153"/>
      <c r="BI168" s="153"/>
      <c r="BJ168" s="153"/>
      <c r="BK168" s="153"/>
      <c r="BL168" s="153"/>
      <c r="BM168" s="153"/>
      <c r="BN168" s="153"/>
      <c r="BO168" s="153"/>
      <c r="BP168" s="153"/>
      <c r="BQ168" s="153"/>
    </row>
    <row r="169" spans="1:69" x14ac:dyDescent="0.2">
      <c r="A169" s="153"/>
      <c r="B169" s="153"/>
      <c r="C169" s="153"/>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c r="AA169" s="153"/>
      <c r="AB169" s="153"/>
      <c r="AC169" s="153"/>
      <c r="AD169" s="153"/>
      <c r="AE169" s="153"/>
      <c r="AF169" s="153"/>
      <c r="AG169" s="153"/>
      <c r="AH169" s="153"/>
      <c r="AI169" s="153"/>
      <c r="AJ169" s="153"/>
      <c r="AK169" s="153"/>
      <c r="AL169" s="153"/>
      <c r="AM169" s="153"/>
      <c r="AN169" s="153"/>
      <c r="AO169" s="153"/>
      <c r="AP169" s="153"/>
      <c r="AQ169" s="153"/>
      <c r="AR169" s="153"/>
      <c r="AS169" s="153"/>
      <c r="AT169" s="153"/>
      <c r="AU169" s="153"/>
      <c r="AV169" s="153"/>
      <c r="AW169" s="153"/>
      <c r="AX169" s="153"/>
      <c r="AY169" s="153"/>
      <c r="AZ169" s="153"/>
      <c r="BA169" s="153"/>
      <c r="BB169" s="153"/>
      <c r="BC169" s="153"/>
      <c r="BD169" s="153"/>
      <c r="BE169" s="153"/>
      <c r="BF169" s="153"/>
      <c r="BG169" s="153"/>
      <c r="BH169" s="153"/>
      <c r="BI169" s="153"/>
      <c r="BJ169" s="153"/>
      <c r="BK169" s="153"/>
      <c r="BL169" s="153"/>
      <c r="BM169" s="153"/>
      <c r="BN169" s="153"/>
      <c r="BO169" s="153"/>
      <c r="BP169" s="153"/>
      <c r="BQ169" s="153"/>
    </row>
    <row r="170" spans="1:69" x14ac:dyDescent="0.2">
      <c r="A170" s="153"/>
      <c r="B170" s="153"/>
      <c r="C170" s="153"/>
      <c r="D170" s="153"/>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c r="AA170" s="153"/>
      <c r="AB170" s="153"/>
      <c r="AC170" s="153"/>
      <c r="AD170" s="153"/>
      <c r="AE170" s="153"/>
      <c r="AF170" s="153"/>
      <c r="AG170" s="153"/>
      <c r="AH170" s="153"/>
      <c r="AI170" s="153"/>
      <c r="AJ170" s="153"/>
      <c r="AK170" s="153"/>
      <c r="AL170" s="153"/>
      <c r="AM170" s="153"/>
      <c r="AN170" s="153"/>
      <c r="AO170" s="153"/>
      <c r="AP170" s="153"/>
      <c r="AQ170" s="153"/>
      <c r="AR170" s="153"/>
      <c r="AS170" s="153"/>
      <c r="AT170" s="153"/>
      <c r="AU170" s="153"/>
      <c r="AV170" s="153"/>
      <c r="AW170" s="153"/>
      <c r="AX170" s="153"/>
      <c r="AY170" s="153"/>
      <c r="AZ170" s="153"/>
      <c r="BA170" s="153"/>
      <c r="BB170" s="153"/>
      <c r="BC170" s="153"/>
      <c r="BD170" s="153"/>
      <c r="BE170" s="153"/>
      <c r="BF170" s="153"/>
      <c r="BG170" s="153"/>
      <c r="BH170" s="153"/>
      <c r="BI170" s="153"/>
      <c r="BJ170" s="153"/>
      <c r="BK170" s="153"/>
      <c r="BL170" s="153"/>
      <c r="BM170" s="153"/>
      <c r="BN170" s="153"/>
      <c r="BO170" s="153"/>
      <c r="BP170" s="153"/>
      <c r="BQ170" s="153"/>
    </row>
    <row r="171" spans="1:69" x14ac:dyDescent="0.2">
      <c r="A171" s="153"/>
      <c r="B171" s="153"/>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c r="AA171" s="153"/>
      <c r="AB171" s="153"/>
      <c r="AC171" s="153"/>
      <c r="AD171" s="153"/>
      <c r="AE171" s="153"/>
      <c r="AF171" s="153"/>
      <c r="AG171" s="153"/>
      <c r="AH171" s="153"/>
      <c r="AI171" s="153"/>
      <c r="AJ171" s="153"/>
      <c r="AK171" s="153"/>
      <c r="AL171" s="153"/>
      <c r="AM171" s="153"/>
      <c r="AN171" s="153"/>
      <c r="AO171" s="153"/>
      <c r="AP171" s="153"/>
      <c r="AQ171" s="153"/>
      <c r="AR171" s="153"/>
      <c r="AS171" s="153"/>
      <c r="AT171" s="153"/>
      <c r="AU171" s="153"/>
      <c r="AV171" s="153"/>
      <c r="AW171" s="153"/>
      <c r="AX171" s="153"/>
      <c r="AY171" s="153"/>
      <c r="AZ171" s="153"/>
      <c r="BA171" s="153"/>
      <c r="BB171" s="153"/>
      <c r="BC171" s="153"/>
      <c r="BD171" s="153"/>
      <c r="BE171" s="153"/>
      <c r="BF171" s="153"/>
      <c r="BG171" s="153"/>
      <c r="BH171" s="153"/>
      <c r="BI171" s="153"/>
      <c r="BJ171" s="153"/>
      <c r="BK171" s="153"/>
      <c r="BL171" s="153"/>
      <c r="BM171" s="153"/>
      <c r="BN171" s="153"/>
      <c r="BO171" s="153"/>
      <c r="BP171" s="153"/>
      <c r="BQ171" s="153"/>
    </row>
    <row r="172" spans="1:69" x14ac:dyDescent="0.2">
      <c r="A172" s="153"/>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c r="AA172" s="153"/>
      <c r="AB172" s="153"/>
      <c r="AC172" s="153"/>
      <c r="AD172" s="153"/>
      <c r="AE172" s="153"/>
      <c r="AF172" s="153"/>
      <c r="AG172" s="153"/>
      <c r="AH172" s="153"/>
      <c r="AI172" s="153"/>
      <c r="AJ172" s="153"/>
      <c r="AK172" s="153"/>
      <c r="AL172" s="153"/>
      <c r="AM172" s="153"/>
      <c r="AN172" s="153"/>
      <c r="AO172" s="153"/>
      <c r="AP172" s="153"/>
      <c r="AQ172" s="153"/>
      <c r="AR172" s="153"/>
      <c r="AS172" s="153"/>
      <c r="AT172" s="153"/>
      <c r="AU172" s="153"/>
      <c r="AV172" s="153"/>
      <c r="AW172" s="153"/>
      <c r="AX172" s="153"/>
      <c r="AY172" s="153"/>
      <c r="AZ172" s="153"/>
      <c r="BA172" s="153"/>
      <c r="BB172" s="153"/>
      <c r="BC172" s="153"/>
      <c r="BD172" s="153"/>
      <c r="BE172" s="153"/>
      <c r="BF172" s="153"/>
      <c r="BG172" s="153"/>
      <c r="BH172" s="153"/>
      <c r="BI172" s="153"/>
      <c r="BJ172" s="153"/>
      <c r="BK172" s="153"/>
      <c r="BL172" s="153"/>
      <c r="BM172" s="153"/>
      <c r="BN172" s="153"/>
      <c r="BO172" s="153"/>
      <c r="BP172" s="153"/>
      <c r="BQ172" s="153"/>
    </row>
    <row r="173" spans="1:69" x14ac:dyDescent="0.2">
      <c r="A173" s="153"/>
      <c r="B173" s="153"/>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c r="AA173" s="153"/>
      <c r="AB173" s="153"/>
      <c r="AC173" s="153"/>
      <c r="AD173" s="153"/>
      <c r="AE173" s="153"/>
      <c r="AF173" s="153"/>
      <c r="AG173" s="153"/>
      <c r="AH173" s="153"/>
      <c r="AI173" s="153"/>
      <c r="AJ173" s="153"/>
      <c r="AK173" s="153"/>
      <c r="AL173" s="153"/>
      <c r="AM173" s="153"/>
      <c r="AN173" s="153"/>
      <c r="AO173" s="153"/>
      <c r="AP173" s="153"/>
      <c r="AQ173" s="153"/>
      <c r="AR173" s="153"/>
      <c r="AS173" s="153"/>
      <c r="AT173" s="153"/>
      <c r="AU173" s="153"/>
      <c r="AV173" s="153"/>
      <c r="AW173" s="153"/>
      <c r="AX173" s="153"/>
      <c r="AY173" s="153"/>
      <c r="AZ173" s="153"/>
      <c r="BA173" s="153"/>
      <c r="BB173" s="153"/>
      <c r="BC173" s="153"/>
      <c r="BD173" s="153"/>
      <c r="BE173" s="153"/>
      <c r="BF173" s="153"/>
      <c r="BG173" s="153"/>
      <c r="BH173" s="153"/>
      <c r="BI173" s="153"/>
      <c r="BJ173" s="153"/>
      <c r="BK173" s="153"/>
      <c r="BL173" s="153"/>
      <c r="BM173" s="153"/>
      <c r="BN173" s="153"/>
      <c r="BO173" s="153"/>
      <c r="BP173" s="153"/>
      <c r="BQ173" s="153"/>
    </row>
    <row r="174" spans="1:69" x14ac:dyDescent="0.2">
      <c r="A174" s="153"/>
      <c r="B174" s="153"/>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c r="AA174" s="153"/>
      <c r="AB174" s="153"/>
      <c r="AC174" s="153"/>
      <c r="AD174" s="153"/>
      <c r="AE174" s="153"/>
      <c r="AF174" s="153"/>
      <c r="AG174" s="153"/>
      <c r="AH174" s="153"/>
      <c r="AI174" s="153"/>
      <c r="AJ174" s="153"/>
      <c r="AK174" s="153"/>
      <c r="AL174" s="153"/>
      <c r="AM174" s="153"/>
      <c r="AN174" s="153"/>
      <c r="AO174" s="153"/>
      <c r="AP174" s="153"/>
      <c r="AQ174" s="153"/>
      <c r="AR174" s="153"/>
      <c r="AS174" s="153"/>
      <c r="AT174" s="153"/>
      <c r="AU174" s="153"/>
      <c r="AV174" s="153"/>
      <c r="AW174" s="153"/>
      <c r="AX174" s="153"/>
      <c r="AY174" s="153"/>
      <c r="AZ174" s="153"/>
      <c r="BA174" s="153"/>
      <c r="BB174" s="153"/>
      <c r="BC174" s="153"/>
      <c r="BD174" s="153"/>
      <c r="BE174" s="153"/>
      <c r="BF174" s="153"/>
      <c r="BG174" s="153"/>
      <c r="BH174" s="153"/>
      <c r="BI174" s="153"/>
      <c r="BJ174" s="153"/>
      <c r="BK174" s="153"/>
      <c r="BL174" s="153"/>
      <c r="BM174" s="153"/>
      <c r="BN174" s="153"/>
      <c r="BO174" s="153"/>
      <c r="BP174" s="153"/>
      <c r="BQ174" s="153"/>
    </row>
    <row r="175" spans="1:69" x14ac:dyDescent="0.2">
      <c r="A175" s="153"/>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c r="AA175" s="153"/>
      <c r="AB175" s="153"/>
      <c r="AC175" s="153"/>
      <c r="AD175" s="153"/>
      <c r="AE175" s="153"/>
      <c r="AF175" s="153"/>
      <c r="AG175" s="153"/>
      <c r="AH175" s="153"/>
      <c r="AI175" s="153"/>
      <c r="AJ175" s="153"/>
      <c r="AK175" s="153"/>
      <c r="AL175" s="153"/>
      <c r="AM175" s="153"/>
      <c r="AN175" s="153"/>
      <c r="AO175" s="153"/>
      <c r="AP175" s="153"/>
      <c r="AQ175" s="153"/>
      <c r="AR175" s="153"/>
      <c r="AS175" s="153"/>
      <c r="AT175" s="153"/>
      <c r="AU175" s="153"/>
      <c r="AV175" s="153"/>
      <c r="AW175" s="153"/>
      <c r="AX175" s="153"/>
      <c r="AY175" s="153"/>
      <c r="AZ175" s="153"/>
      <c r="BA175" s="153"/>
      <c r="BB175" s="153"/>
      <c r="BC175" s="153"/>
      <c r="BD175" s="153"/>
      <c r="BE175" s="153"/>
      <c r="BF175" s="153"/>
      <c r="BG175" s="153"/>
      <c r="BH175" s="153"/>
      <c r="BI175" s="153"/>
      <c r="BJ175" s="153"/>
      <c r="BK175" s="153"/>
      <c r="BL175" s="153"/>
      <c r="BM175" s="153"/>
      <c r="BN175" s="153"/>
      <c r="BO175" s="153"/>
      <c r="BP175" s="153"/>
      <c r="BQ175" s="153"/>
    </row>
    <row r="176" spans="1:69" x14ac:dyDescent="0.2">
      <c r="A176" s="153"/>
      <c r="B176" s="153"/>
      <c r="C176" s="153"/>
      <c r="D176" s="153"/>
      <c r="E176" s="153"/>
      <c r="F176" s="153"/>
      <c r="G176" s="153"/>
      <c r="H176" s="153"/>
      <c r="I176" s="153"/>
      <c r="J176" s="153"/>
      <c r="K176" s="153"/>
      <c r="L176" s="153"/>
      <c r="M176" s="153"/>
      <c r="N176" s="153"/>
      <c r="O176" s="153"/>
      <c r="P176" s="153"/>
      <c r="Q176" s="153"/>
      <c r="R176" s="153"/>
      <c r="S176" s="153"/>
      <c r="T176" s="153"/>
      <c r="U176" s="153"/>
      <c r="V176" s="153"/>
      <c r="W176" s="153"/>
      <c r="X176" s="153"/>
      <c r="Y176" s="153"/>
      <c r="Z176" s="153"/>
      <c r="AA176" s="153"/>
      <c r="AB176" s="153"/>
      <c r="AC176" s="153"/>
      <c r="AD176" s="153"/>
      <c r="AE176" s="153"/>
      <c r="AF176" s="153"/>
      <c r="AG176" s="153"/>
      <c r="AH176" s="153"/>
      <c r="AI176" s="153"/>
      <c r="AJ176" s="153"/>
      <c r="AK176" s="153"/>
      <c r="AL176" s="153"/>
      <c r="AM176" s="153"/>
      <c r="AN176" s="153"/>
      <c r="AO176" s="153"/>
      <c r="AP176" s="153"/>
      <c r="AQ176" s="153"/>
      <c r="AR176" s="153"/>
      <c r="AS176" s="153"/>
      <c r="AT176" s="153"/>
      <c r="AU176" s="153"/>
      <c r="AV176" s="153"/>
      <c r="AW176" s="153"/>
      <c r="AX176" s="153"/>
      <c r="AY176" s="153"/>
      <c r="AZ176" s="153"/>
      <c r="BA176" s="153"/>
      <c r="BB176" s="153"/>
      <c r="BC176" s="153"/>
      <c r="BD176" s="153"/>
      <c r="BE176" s="153"/>
      <c r="BF176" s="153"/>
      <c r="BG176" s="153"/>
      <c r="BH176" s="153"/>
      <c r="BI176" s="153"/>
      <c r="BJ176" s="153"/>
      <c r="BK176" s="153"/>
      <c r="BL176" s="153"/>
      <c r="BM176" s="153"/>
      <c r="BN176" s="153"/>
      <c r="BO176" s="153"/>
      <c r="BP176" s="153"/>
      <c r="BQ176" s="153"/>
    </row>
    <row r="177" spans="1:69" x14ac:dyDescent="0.2">
      <c r="A177" s="153"/>
      <c r="B177" s="153"/>
      <c r="C177" s="153"/>
      <c r="D177" s="153"/>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c r="AA177" s="153"/>
      <c r="AB177" s="153"/>
      <c r="AC177" s="153"/>
      <c r="AD177" s="153"/>
      <c r="AE177" s="153"/>
      <c r="AF177" s="153"/>
      <c r="AG177" s="153"/>
      <c r="AH177" s="153"/>
      <c r="AI177" s="153"/>
      <c r="AJ177" s="153"/>
      <c r="AK177" s="153"/>
      <c r="AL177" s="153"/>
      <c r="AM177" s="153"/>
      <c r="AN177" s="153"/>
      <c r="AO177" s="153"/>
      <c r="AP177" s="153"/>
      <c r="AQ177" s="153"/>
      <c r="AR177" s="153"/>
      <c r="AS177" s="153"/>
      <c r="AT177" s="153"/>
      <c r="AU177" s="153"/>
      <c r="AV177" s="153"/>
      <c r="AW177" s="153"/>
      <c r="AX177" s="153"/>
      <c r="AY177" s="153"/>
      <c r="AZ177" s="153"/>
      <c r="BA177" s="153"/>
      <c r="BB177" s="153"/>
      <c r="BC177" s="153"/>
      <c r="BD177" s="153"/>
      <c r="BE177" s="153"/>
      <c r="BF177" s="153"/>
      <c r="BG177" s="153"/>
      <c r="BH177" s="153"/>
      <c r="BI177" s="153"/>
      <c r="BJ177" s="153"/>
      <c r="BK177" s="153"/>
      <c r="BL177" s="153"/>
      <c r="BM177" s="153"/>
      <c r="BN177" s="153"/>
      <c r="BO177" s="153"/>
      <c r="BP177" s="153"/>
      <c r="BQ177" s="153"/>
    </row>
    <row r="178" spans="1:69" x14ac:dyDescent="0.2">
      <c r="A178" s="153"/>
      <c r="B178" s="153"/>
      <c r="C178" s="153"/>
      <c r="D178" s="153"/>
      <c r="E178" s="153"/>
      <c r="F178" s="153"/>
      <c r="G178" s="153"/>
      <c r="H178" s="153"/>
      <c r="I178" s="153"/>
      <c r="J178" s="153"/>
      <c r="K178" s="153"/>
      <c r="L178" s="153"/>
      <c r="M178" s="153"/>
      <c r="N178" s="153"/>
      <c r="O178" s="153"/>
      <c r="P178" s="153"/>
      <c r="Q178" s="153"/>
      <c r="R178" s="153"/>
      <c r="S178" s="153"/>
      <c r="T178" s="153"/>
      <c r="U178" s="153"/>
      <c r="V178" s="153"/>
      <c r="W178" s="153"/>
      <c r="X178" s="153"/>
      <c r="Y178" s="153"/>
      <c r="Z178" s="153"/>
      <c r="AA178" s="153"/>
      <c r="AB178" s="153"/>
      <c r="AC178" s="153"/>
      <c r="AD178" s="153"/>
      <c r="AE178" s="153"/>
      <c r="AF178" s="153"/>
      <c r="AG178" s="153"/>
      <c r="AH178" s="153"/>
      <c r="AI178" s="153"/>
      <c r="AJ178" s="153"/>
      <c r="AK178" s="153"/>
      <c r="AL178" s="153"/>
      <c r="AM178" s="153"/>
      <c r="AN178" s="153"/>
      <c r="AO178" s="153"/>
      <c r="AP178" s="153"/>
      <c r="AQ178" s="153"/>
      <c r="AR178" s="153"/>
      <c r="AS178" s="153"/>
      <c r="AT178" s="153"/>
      <c r="AU178" s="153"/>
      <c r="AV178" s="153"/>
      <c r="AW178" s="153"/>
      <c r="AX178" s="153"/>
      <c r="AY178" s="153"/>
      <c r="AZ178" s="153"/>
      <c r="BA178" s="153"/>
      <c r="BB178" s="153"/>
      <c r="BC178" s="153"/>
      <c r="BD178" s="153"/>
      <c r="BE178" s="153"/>
      <c r="BF178" s="153"/>
      <c r="BG178" s="153"/>
      <c r="BH178" s="153"/>
      <c r="BI178" s="153"/>
      <c r="BJ178" s="153"/>
      <c r="BK178" s="153"/>
      <c r="BL178" s="153"/>
      <c r="BM178" s="153"/>
      <c r="BN178" s="153"/>
      <c r="BO178" s="153"/>
      <c r="BP178" s="153"/>
      <c r="BQ178" s="153"/>
    </row>
    <row r="179" spans="1:69" x14ac:dyDescent="0.2">
      <c r="A179" s="153"/>
      <c r="B179" s="153"/>
      <c r="C179" s="153"/>
      <c r="D179" s="153"/>
      <c r="E179" s="153"/>
      <c r="F179" s="153"/>
      <c r="G179" s="153"/>
      <c r="H179" s="153"/>
      <c r="I179" s="153"/>
      <c r="J179" s="153"/>
      <c r="K179" s="153"/>
      <c r="L179" s="153"/>
      <c r="M179" s="153"/>
      <c r="N179" s="153"/>
      <c r="O179" s="153"/>
      <c r="P179" s="153"/>
      <c r="Q179" s="153"/>
      <c r="R179" s="153"/>
      <c r="S179" s="153"/>
      <c r="T179" s="153"/>
      <c r="U179" s="153"/>
      <c r="V179" s="153"/>
      <c r="W179" s="153"/>
      <c r="X179" s="153"/>
      <c r="Y179" s="153"/>
      <c r="Z179" s="153"/>
      <c r="AA179" s="153"/>
      <c r="AB179" s="153"/>
      <c r="AC179" s="153"/>
      <c r="AD179" s="153"/>
      <c r="AE179" s="153"/>
      <c r="AF179" s="153"/>
      <c r="AG179" s="153"/>
      <c r="AH179" s="153"/>
      <c r="AI179" s="153"/>
      <c r="AJ179" s="153"/>
      <c r="AK179" s="153"/>
      <c r="AL179" s="153"/>
      <c r="AM179" s="153"/>
      <c r="AN179" s="153"/>
      <c r="AO179" s="153"/>
      <c r="AP179" s="153"/>
      <c r="AQ179" s="153"/>
      <c r="AR179" s="153"/>
      <c r="AS179" s="153"/>
      <c r="AT179" s="153"/>
      <c r="AU179" s="153"/>
      <c r="AV179" s="153"/>
      <c r="AW179" s="153"/>
      <c r="AX179" s="153"/>
      <c r="AY179" s="153"/>
      <c r="AZ179" s="153"/>
      <c r="BA179" s="153"/>
      <c r="BB179" s="153"/>
      <c r="BC179" s="153"/>
      <c r="BD179" s="153"/>
      <c r="BE179" s="153"/>
      <c r="BF179" s="153"/>
      <c r="BG179" s="153"/>
      <c r="BH179" s="153"/>
      <c r="BI179" s="153"/>
      <c r="BJ179" s="153"/>
      <c r="BK179" s="153"/>
      <c r="BL179" s="153"/>
      <c r="BM179" s="153"/>
      <c r="BN179" s="153"/>
      <c r="BO179" s="153"/>
      <c r="BP179" s="153"/>
      <c r="BQ179" s="153"/>
    </row>
    <row r="180" spans="1:69" x14ac:dyDescent="0.2">
      <c r="A180" s="153"/>
      <c r="B180" s="153"/>
      <c r="C180" s="153"/>
      <c r="D180" s="153"/>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c r="AA180" s="153"/>
      <c r="AB180" s="153"/>
      <c r="AC180" s="153"/>
      <c r="AD180" s="153"/>
      <c r="AE180" s="153"/>
      <c r="AF180" s="153"/>
      <c r="AG180" s="153"/>
      <c r="AH180" s="153"/>
      <c r="AI180" s="153"/>
      <c r="AJ180" s="153"/>
      <c r="AK180" s="153"/>
      <c r="AL180" s="153"/>
      <c r="AM180" s="153"/>
      <c r="AN180" s="153"/>
      <c r="AO180" s="153"/>
      <c r="AP180" s="153"/>
      <c r="AQ180" s="153"/>
      <c r="AR180" s="153"/>
      <c r="AS180" s="153"/>
      <c r="AT180" s="153"/>
      <c r="AU180" s="153"/>
      <c r="AV180" s="153"/>
      <c r="AW180" s="153"/>
      <c r="AX180" s="153"/>
      <c r="AY180" s="153"/>
      <c r="AZ180" s="153"/>
      <c r="BA180" s="153"/>
      <c r="BB180" s="153"/>
      <c r="BC180" s="153"/>
      <c r="BD180" s="153"/>
      <c r="BE180" s="153"/>
      <c r="BF180" s="153"/>
      <c r="BG180" s="153"/>
      <c r="BH180" s="153"/>
      <c r="BI180" s="153"/>
      <c r="BJ180" s="153"/>
      <c r="BK180" s="153"/>
      <c r="BL180" s="153"/>
      <c r="BM180" s="153"/>
      <c r="BN180" s="153"/>
      <c r="BO180" s="153"/>
      <c r="BP180" s="153"/>
      <c r="BQ180" s="153"/>
    </row>
    <row r="181" spans="1:69" x14ac:dyDescent="0.2">
      <c r="A181" s="153"/>
      <c r="B181" s="153"/>
      <c r="C181" s="153"/>
      <c r="D181" s="153"/>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c r="AA181" s="153"/>
      <c r="AB181" s="153"/>
      <c r="AC181" s="153"/>
      <c r="AD181" s="153"/>
      <c r="AE181" s="153"/>
      <c r="AF181" s="153"/>
      <c r="AG181" s="153"/>
      <c r="AH181" s="153"/>
      <c r="AI181" s="153"/>
      <c r="AJ181" s="153"/>
      <c r="AK181" s="153"/>
      <c r="AL181" s="153"/>
      <c r="AM181" s="153"/>
      <c r="AN181" s="153"/>
      <c r="AO181" s="153"/>
      <c r="AP181" s="153"/>
      <c r="AQ181" s="153"/>
      <c r="AR181" s="153"/>
      <c r="AS181" s="153"/>
      <c r="AT181" s="153"/>
      <c r="AU181" s="153"/>
      <c r="AV181" s="153"/>
      <c r="AW181" s="153"/>
      <c r="AX181" s="153"/>
      <c r="AY181" s="153"/>
      <c r="AZ181" s="153"/>
      <c r="BA181" s="153"/>
      <c r="BB181" s="153"/>
      <c r="BC181" s="153"/>
      <c r="BD181" s="153"/>
      <c r="BE181" s="153"/>
      <c r="BF181" s="153"/>
      <c r="BG181" s="153"/>
      <c r="BH181" s="153"/>
      <c r="BI181" s="153"/>
      <c r="BJ181" s="153"/>
      <c r="BK181" s="153"/>
      <c r="BL181" s="153"/>
      <c r="BM181" s="153"/>
      <c r="BN181" s="153"/>
      <c r="BO181" s="153"/>
      <c r="BP181" s="153"/>
      <c r="BQ181" s="153"/>
    </row>
    <row r="182" spans="1:69" x14ac:dyDescent="0.2">
      <c r="A182" s="153"/>
      <c r="B182" s="153"/>
      <c r="C182" s="153"/>
      <c r="D182" s="153"/>
      <c r="E182" s="153"/>
      <c r="F182" s="153"/>
      <c r="G182" s="153"/>
      <c r="H182" s="153"/>
      <c r="I182" s="153"/>
      <c r="J182" s="153"/>
      <c r="K182" s="153"/>
      <c r="L182" s="153"/>
      <c r="M182" s="153"/>
      <c r="N182" s="153"/>
      <c r="O182" s="153"/>
      <c r="P182" s="153"/>
      <c r="Q182" s="153"/>
      <c r="R182" s="153"/>
      <c r="S182" s="153"/>
      <c r="T182" s="153"/>
      <c r="U182" s="153"/>
      <c r="V182" s="153"/>
      <c r="W182" s="153"/>
      <c r="X182" s="153"/>
      <c r="Y182" s="153"/>
      <c r="Z182" s="153"/>
      <c r="AA182" s="153"/>
      <c r="AB182" s="153"/>
      <c r="AC182" s="153"/>
      <c r="AD182" s="153"/>
      <c r="AE182" s="153"/>
      <c r="AF182" s="153"/>
      <c r="AG182" s="153"/>
      <c r="AH182" s="153"/>
      <c r="AI182" s="153"/>
      <c r="AJ182" s="153"/>
      <c r="AK182" s="153"/>
      <c r="AL182" s="153"/>
      <c r="AM182" s="153"/>
      <c r="AN182" s="153"/>
      <c r="AO182" s="153"/>
      <c r="AP182" s="153"/>
      <c r="AQ182" s="153"/>
      <c r="AR182" s="153"/>
      <c r="AS182" s="153"/>
      <c r="AT182" s="153"/>
      <c r="AU182" s="153"/>
      <c r="AV182" s="153"/>
      <c r="AW182" s="153"/>
      <c r="AX182" s="153"/>
      <c r="AY182" s="153"/>
      <c r="AZ182" s="153"/>
      <c r="BA182" s="153"/>
      <c r="BB182" s="153"/>
      <c r="BC182" s="153"/>
      <c r="BD182" s="153"/>
      <c r="BE182" s="153"/>
      <c r="BF182" s="153"/>
      <c r="BG182" s="153"/>
      <c r="BH182" s="153"/>
      <c r="BI182" s="153"/>
      <c r="BJ182" s="153"/>
      <c r="BK182" s="153"/>
      <c r="BL182" s="153"/>
      <c r="BM182" s="153"/>
      <c r="BN182" s="153"/>
      <c r="BO182" s="153"/>
      <c r="BP182" s="153"/>
      <c r="BQ182" s="153"/>
    </row>
    <row r="183" spans="1:69" x14ac:dyDescent="0.2">
      <c r="A183" s="153"/>
      <c r="B183" s="153"/>
      <c r="C183" s="153"/>
      <c r="D183" s="153"/>
      <c r="E183" s="153"/>
      <c r="F183" s="153"/>
      <c r="G183" s="153"/>
      <c r="H183" s="153"/>
      <c r="I183" s="153"/>
      <c r="J183" s="153"/>
      <c r="K183" s="153"/>
      <c r="L183" s="153"/>
      <c r="M183" s="153"/>
      <c r="N183" s="153"/>
      <c r="O183" s="153"/>
      <c r="P183" s="153"/>
      <c r="Q183" s="153"/>
      <c r="R183" s="153"/>
      <c r="S183" s="153"/>
      <c r="T183" s="153"/>
      <c r="U183" s="153"/>
      <c r="V183" s="153"/>
      <c r="W183" s="153"/>
      <c r="X183" s="153"/>
      <c r="Y183" s="153"/>
      <c r="Z183" s="153"/>
      <c r="AA183" s="153"/>
      <c r="AB183" s="153"/>
      <c r="AC183" s="153"/>
      <c r="AD183" s="153"/>
      <c r="AE183" s="153"/>
      <c r="AF183" s="153"/>
      <c r="AG183" s="153"/>
      <c r="AH183" s="153"/>
      <c r="AI183" s="153"/>
      <c r="AJ183" s="153"/>
      <c r="AK183" s="153"/>
      <c r="AL183" s="153"/>
      <c r="AM183" s="153"/>
      <c r="AN183" s="153"/>
      <c r="AO183" s="153"/>
      <c r="AP183" s="153"/>
      <c r="AQ183" s="153"/>
      <c r="AR183" s="153"/>
      <c r="AS183" s="153"/>
      <c r="AT183" s="153"/>
      <c r="AU183" s="153"/>
      <c r="AV183" s="153"/>
      <c r="AW183" s="153"/>
      <c r="AX183" s="153"/>
      <c r="AY183" s="153"/>
      <c r="AZ183" s="153"/>
      <c r="BA183" s="153"/>
      <c r="BB183" s="153"/>
      <c r="BC183" s="153"/>
      <c r="BD183" s="153"/>
      <c r="BE183" s="153"/>
      <c r="BF183" s="153"/>
      <c r="BG183" s="153"/>
      <c r="BH183" s="153"/>
      <c r="BI183" s="153"/>
      <c r="BJ183" s="153"/>
      <c r="BK183" s="153"/>
      <c r="BL183" s="153"/>
      <c r="BM183" s="153"/>
      <c r="BN183" s="153"/>
      <c r="BO183" s="153"/>
      <c r="BP183" s="153"/>
      <c r="BQ183" s="153"/>
    </row>
    <row r="184" spans="1:69" x14ac:dyDescent="0.2">
      <c r="A184" s="153"/>
      <c r="B184" s="153"/>
      <c r="C184" s="153"/>
      <c r="D184" s="153"/>
      <c r="E184" s="153"/>
      <c r="F184" s="153"/>
      <c r="G184" s="153"/>
      <c r="H184" s="153"/>
      <c r="I184" s="153"/>
      <c r="J184" s="153"/>
      <c r="K184" s="153"/>
      <c r="L184" s="153"/>
      <c r="M184" s="153"/>
      <c r="N184" s="153"/>
      <c r="O184" s="153"/>
      <c r="P184" s="153"/>
      <c r="Q184" s="153"/>
      <c r="R184" s="153"/>
      <c r="S184" s="153"/>
      <c r="T184" s="153"/>
      <c r="U184" s="153"/>
      <c r="V184" s="153"/>
      <c r="W184" s="153"/>
      <c r="X184" s="153"/>
      <c r="Y184" s="153"/>
      <c r="Z184" s="153"/>
      <c r="AA184" s="153"/>
      <c r="AB184" s="153"/>
      <c r="AC184" s="153"/>
      <c r="AD184" s="153"/>
      <c r="AE184" s="153"/>
      <c r="AF184" s="153"/>
      <c r="AG184" s="153"/>
      <c r="AH184" s="153"/>
      <c r="AI184" s="153"/>
      <c r="AJ184" s="153"/>
      <c r="AK184" s="153"/>
      <c r="AL184" s="153"/>
      <c r="AM184" s="153"/>
      <c r="AN184" s="153"/>
      <c r="AO184" s="153"/>
      <c r="AP184" s="153"/>
      <c r="AQ184" s="153"/>
      <c r="AR184" s="153"/>
      <c r="AS184" s="153"/>
      <c r="AT184" s="153"/>
      <c r="AU184" s="153"/>
      <c r="AV184" s="153"/>
      <c r="AW184" s="153"/>
      <c r="AX184" s="153"/>
      <c r="AY184" s="153"/>
      <c r="AZ184" s="153"/>
      <c r="BA184" s="153"/>
      <c r="BB184" s="153"/>
      <c r="BC184" s="153"/>
      <c r="BD184" s="153"/>
      <c r="BE184" s="153"/>
      <c r="BF184" s="153"/>
      <c r="BG184" s="153"/>
      <c r="BH184" s="153"/>
      <c r="BI184" s="153"/>
      <c r="BJ184" s="153"/>
      <c r="BK184" s="153"/>
      <c r="BL184" s="153"/>
      <c r="BM184" s="153"/>
      <c r="BN184" s="153"/>
      <c r="BO184" s="153"/>
      <c r="BP184" s="153"/>
      <c r="BQ184" s="153"/>
    </row>
    <row r="185" spans="1:69" x14ac:dyDescent="0.2">
      <c r="A185" s="153"/>
      <c r="B185" s="153"/>
      <c r="C185" s="153"/>
      <c r="D185" s="153"/>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c r="AA185" s="153"/>
      <c r="AB185" s="153"/>
      <c r="AC185" s="153"/>
      <c r="AD185" s="153"/>
      <c r="AE185" s="153"/>
      <c r="AF185" s="153"/>
      <c r="AG185" s="153"/>
      <c r="AH185" s="153"/>
      <c r="AI185" s="153"/>
      <c r="AJ185" s="153"/>
      <c r="AK185" s="153"/>
      <c r="AL185" s="153"/>
      <c r="AM185" s="153"/>
      <c r="AN185" s="153"/>
      <c r="AO185" s="153"/>
      <c r="AP185" s="153"/>
      <c r="AQ185" s="153"/>
      <c r="AR185" s="153"/>
      <c r="AS185" s="153"/>
      <c r="AT185" s="153"/>
      <c r="AU185" s="153"/>
      <c r="AV185" s="153"/>
      <c r="AW185" s="153"/>
      <c r="AX185" s="153"/>
      <c r="AY185" s="153"/>
      <c r="AZ185" s="153"/>
      <c r="BA185" s="153"/>
      <c r="BB185" s="153"/>
      <c r="BC185" s="153"/>
      <c r="BD185" s="153"/>
      <c r="BE185" s="153"/>
      <c r="BF185" s="153"/>
      <c r="BG185" s="153"/>
      <c r="BH185" s="153"/>
      <c r="BI185" s="153"/>
      <c r="BJ185" s="153"/>
      <c r="BK185" s="153"/>
      <c r="BL185" s="153"/>
      <c r="BM185" s="153"/>
      <c r="BN185" s="153"/>
      <c r="BO185" s="153"/>
      <c r="BP185" s="153"/>
      <c r="BQ185" s="153"/>
    </row>
    <row r="186" spans="1:69" x14ac:dyDescent="0.2">
      <c r="A186" s="153"/>
      <c r="B186" s="153"/>
      <c r="C186" s="153"/>
      <c r="D186" s="153"/>
      <c r="E186" s="153"/>
      <c r="F186" s="153"/>
      <c r="G186" s="153"/>
      <c r="H186" s="153"/>
      <c r="I186" s="153"/>
      <c r="J186" s="153"/>
      <c r="K186" s="153"/>
      <c r="L186" s="153"/>
      <c r="M186" s="153"/>
      <c r="N186" s="153"/>
      <c r="O186" s="153"/>
      <c r="P186" s="153"/>
      <c r="Q186" s="153"/>
      <c r="R186" s="153"/>
      <c r="S186" s="153"/>
      <c r="T186" s="153"/>
      <c r="U186" s="153"/>
      <c r="V186" s="153"/>
      <c r="W186" s="153"/>
      <c r="X186" s="153"/>
      <c r="Y186" s="153"/>
      <c r="Z186" s="153"/>
      <c r="AA186" s="153"/>
      <c r="AB186" s="153"/>
      <c r="AC186" s="153"/>
      <c r="AD186" s="153"/>
      <c r="AE186" s="153"/>
      <c r="AF186" s="153"/>
      <c r="AG186" s="153"/>
      <c r="AH186" s="153"/>
      <c r="AI186" s="153"/>
      <c r="AJ186" s="153"/>
      <c r="AK186" s="153"/>
      <c r="AL186" s="153"/>
      <c r="AM186" s="153"/>
      <c r="AN186" s="153"/>
      <c r="AO186" s="153"/>
      <c r="AP186" s="153"/>
      <c r="AQ186" s="153"/>
      <c r="AR186" s="153"/>
      <c r="AS186" s="153"/>
      <c r="AT186" s="153"/>
      <c r="AU186" s="153"/>
      <c r="AV186" s="153"/>
      <c r="AW186" s="153"/>
      <c r="AX186" s="153"/>
      <c r="AY186" s="153"/>
      <c r="AZ186" s="153"/>
      <c r="BA186" s="153"/>
      <c r="BB186" s="153"/>
      <c r="BC186" s="153"/>
      <c r="BD186" s="153"/>
      <c r="BE186" s="153"/>
      <c r="BF186" s="153"/>
      <c r="BG186" s="153"/>
      <c r="BH186" s="153"/>
      <c r="BI186" s="153"/>
      <c r="BJ186" s="153"/>
      <c r="BK186" s="153"/>
      <c r="BL186" s="153"/>
      <c r="BM186" s="153"/>
      <c r="BN186" s="153"/>
      <c r="BO186" s="153"/>
      <c r="BP186" s="153"/>
      <c r="BQ186" s="153"/>
    </row>
    <row r="187" spans="1:69" x14ac:dyDescent="0.2">
      <c r="A187" s="153"/>
      <c r="B187" s="153"/>
      <c r="C187" s="153"/>
      <c r="D187" s="153"/>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c r="AA187" s="153"/>
      <c r="AB187" s="153"/>
      <c r="AC187" s="153"/>
      <c r="AD187" s="153"/>
      <c r="AE187" s="153"/>
      <c r="AF187" s="153"/>
      <c r="AG187" s="153"/>
      <c r="AH187" s="153"/>
      <c r="AI187" s="153"/>
      <c r="AJ187" s="153"/>
      <c r="AK187" s="153"/>
      <c r="AL187" s="153"/>
      <c r="AM187" s="153"/>
      <c r="AN187" s="153"/>
      <c r="AO187" s="153"/>
      <c r="AP187" s="153"/>
      <c r="AQ187" s="153"/>
      <c r="AR187" s="153"/>
      <c r="AS187" s="153"/>
      <c r="AT187" s="153"/>
      <c r="AU187" s="153"/>
      <c r="AV187" s="153"/>
      <c r="AW187" s="153"/>
      <c r="AX187" s="153"/>
      <c r="AY187" s="153"/>
      <c r="AZ187" s="153"/>
      <c r="BA187" s="153"/>
      <c r="BB187" s="153"/>
      <c r="BC187" s="153"/>
      <c r="BD187" s="153"/>
      <c r="BE187" s="153"/>
      <c r="BF187" s="153"/>
      <c r="BG187" s="153"/>
      <c r="BH187" s="153"/>
      <c r="BI187" s="153"/>
      <c r="BJ187" s="153"/>
      <c r="BK187" s="153"/>
      <c r="BL187" s="153"/>
      <c r="BM187" s="153"/>
      <c r="BN187" s="153"/>
      <c r="BO187" s="153"/>
      <c r="BP187" s="153"/>
      <c r="BQ187" s="153"/>
    </row>
    <row r="188" spans="1:69" x14ac:dyDescent="0.2">
      <c r="A188" s="153"/>
      <c r="B188" s="153"/>
      <c r="C188" s="153"/>
      <c r="D188" s="153"/>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c r="AA188" s="153"/>
      <c r="AB188" s="153"/>
      <c r="AC188" s="153"/>
      <c r="AD188" s="153"/>
      <c r="AE188" s="153"/>
      <c r="AF188" s="153"/>
      <c r="AG188" s="153"/>
      <c r="AH188" s="153"/>
      <c r="AI188" s="153"/>
      <c r="AJ188" s="153"/>
      <c r="AK188" s="153"/>
      <c r="AL188" s="153"/>
      <c r="AM188" s="153"/>
      <c r="AN188" s="153"/>
      <c r="AO188" s="153"/>
      <c r="AP188" s="153"/>
      <c r="AQ188" s="153"/>
      <c r="AR188" s="153"/>
      <c r="AS188" s="153"/>
      <c r="AT188" s="153"/>
      <c r="AU188" s="153"/>
      <c r="AV188" s="153"/>
      <c r="AW188" s="153"/>
      <c r="AX188" s="153"/>
      <c r="AY188" s="153"/>
      <c r="AZ188" s="153"/>
      <c r="BA188" s="153"/>
      <c r="BB188" s="153"/>
      <c r="BC188" s="153"/>
      <c r="BD188" s="153"/>
      <c r="BE188" s="153"/>
      <c r="BF188" s="153"/>
      <c r="BG188" s="153"/>
      <c r="BH188" s="153"/>
      <c r="BI188" s="153"/>
      <c r="BJ188" s="153"/>
      <c r="BK188" s="153"/>
      <c r="BL188" s="153"/>
      <c r="BM188" s="153"/>
      <c r="BN188" s="153"/>
      <c r="BO188" s="153"/>
      <c r="BP188" s="153"/>
      <c r="BQ188" s="153"/>
    </row>
    <row r="189" spans="1:69" x14ac:dyDescent="0.2">
      <c r="A189" s="153"/>
      <c r="B189" s="153"/>
      <c r="C189" s="153"/>
      <c r="D189" s="153"/>
      <c r="E189" s="153"/>
      <c r="F189" s="153"/>
      <c r="G189" s="153"/>
      <c r="H189" s="153"/>
      <c r="I189" s="153"/>
      <c r="J189" s="153"/>
      <c r="K189" s="153"/>
      <c r="L189" s="153"/>
      <c r="M189" s="153"/>
      <c r="N189" s="153"/>
      <c r="O189" s="153"/>
      <c r="P189" s="153"/>
      <c r="Q189" s="153"/>
      <c r="R189" s="153"/>
      <c r="S189" s="153"/>
      <c r="T189" s="153"/>
      <c r="U189" s="153"/>
      <c r="V189" s="153"/>
      <c r="W189" s="153"/>
      <c r="X189" s="153"/>
      <c r="Y189" s="153"/>
      <c r="Z189" s="153"/>
      <c r="AA189" s="153"/>
      <c r="AB189" s="153"/>
      <c r="AC189" s="153"/>
      <c r="AD189" s="153"/>
      <c r="AE189" s="153"/>
      <c r="AF189" s="153"/>
      <c r="AG189" s="153"/>
      <c r="AH189" s="153"/>
      <c r="AI189" s="153"/>
      <c r="AJ189" s="153"/>
      <c r="AK189" s="153"/>
      <c r="AL189" s="153"/>
      <c r="AM189" s="153"/>
      <c r="AN189" s="153"/>
      <c r="AO189" s="153"/>
      <c r="AP189" s="153"/>
      <c r="AQ189" s="153"/>
      <c r="AR189" s="153"/>
      <c r="AS189" s="153"/>
      <c r="AT189" s="153"/>
      <c r="AU189" s="153"/>
      <c r="AV189" s="153"/>
      <c r="AW189" s="153"/>
      <c r="AX189" s="153"/>
      <c r="AY189" s="153"/>
      <c r="AZ189" s="153"/>
      <c r="BA189" s="153"/>
      <c r="BB189" s="153"/>
      <c r="BC189" s="153"/>
      <c r="BD189" s="153"/>
      <c r="BE189" s="153"/>
      <c r="BF189" s="153"/>
      <c r="BG189" s="153"/>
      <c r="BH189" s="153"/>
      <c r="BI189" s="153"/>
      <c r="BJ189" s="153"/>
      <c r="BK189" s="153"/>
      <c r="BL189" s="153"/>
      <c r="BM189" s="153"/>
      <c r="BN189" s="153"/>
      <c r="BO189" s="153"/>
      <c r="BP189" s="153"/>
      <c r="BQ189" s="153"/>
    </row>
    <row r="190" spans="1:69" x14ac:dyDescent="0.2">
      <c r="A190" s="153"/>
      <c r="B190" s="153"/>
      <c r="C190" s="153"/>
      <c r="D190" s="153"/>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c r="AA190" s="153"/>
      <c r="AB190" s="153"/>
      <c r="AC190" s="153"/>
      <c r="AD190" s="153"/>
      <c r="AE190" s="153"/>
      <c r="AF190" s="153"/>
      <c r="AG190" s="153"/>
      <c r="AH190" s="153"/>
      <c r="AI190" s="153"/>
      <c r="AJ190" s="153"/>
      <c r="AK190" s="153"/>
      <c r="AL190" s="153"/>
      <c r="AM190" s="153"/>
      <c r="AN190" s="153"/>
      <c r="AO190" s="153"/>
      <c r="AP190" s="153"/>
      <c r="AQ190" s="153"/>
      <c r="AR190" s="153"/>
      <c r="AS190" s="153"/>
      <c r="AT190" s="153"/>
      <c r="AU190" s="153"/>
      <c r="AV190" s="153"/>
      <c r="AW190" s="153"/>
      <c r="AX190" s="153"/>
      <c r="AY190" s="153"/>
      <c r="AZ190" s="153"/>
      <c r="BA190" s="153"/>
      <c r="BB190" s="153"/>
      <c r="BC190" s="153"/>
      <c r="BD190" s="153"/>
      <c r="BE190" s="153"/>
      <c r="BF190" s="153"/>
      <c r="BG190" s="153"/>
      <c r="BH190" s="153"/>
      <c r="BI190" s="153"/>
      <c r="BJ190" s="153"/>
      <c r="BK190" s="153"/>
      <c r="BL190" s="153"/>
      <c r="BM190" s="153"/>
      <c r="BN190" s="153"/>
      <c r="BO190" s="153"/>
      <c r="BP190" s="153"/>
      <c r="BQ190" s="153"/>
    </row>
    <row r="191" spans="1:69" x14ac:dyDescent="0.2">
      <c r="A191" s="153"/>
      <c r="B191" s="153"/>
      <c r="C191" s="153"/>
      <c r="D191" s="153"/>
      <c r="E191" s="153"/>
      <c r="F191" s="153"/>
      <c r="G191" s="153"/>
      <c r="H191" s="153"/>
      <c r="I191" s="153"/>
      <c r="J191" s="153"/>
      <c r="K191" s="153"/>
      <c r="L191" s="153"/>
      <c r="M191" s="153"/>
      <c r="N191" s="153"/>
      <c r="O191" s="153"/>
      <c r="P191" s="153"/>
      <c r="Q191" s="153"/>
      <c r="R191" s="153"/>
      <c r="S191" s="153"/>
      <c r="T191" s="153"/>
      <c r="U191" s="153"/>
      <c r="V191" s="153"/>
      <c r="W191" s="153"/>
      <c r="X191" s="153"/>
      <c r="Y191" s="153"/>
      <c r="Z191" s="153"/>
      <c r="AA191" s="153"/>
      <c r="AB191" s="153"/>
      <c r="AC191" s="153"/>
      <c r="AD191" s="153"/>
      <c r="AE191" s="153"/>
      <c r="AF191" s="153"/>
      <c r="AG191" s="153"/>
      <c r="AH191" s="153"/>
      <c r="AI191" s="153"/>
      <c r="AJ191" s="153"/>
      <c r="AK191" s="153"/>
      <c r="AL191" s="153"/>
      <c r="AM191" s="153"/>
      <c r="AN191" s="153"/>
      <c r="AO191" s="153"/>
      <c r="AP191" s="153"/>
      <c r="AQ191" s="153"/>
      <c r="AR191" s="153"/>
      <c r="AS191" s="153"/>
      <c r="AT191" s="153"/>
      <c r="AU191" s="153"/>
      <c r="AV191" s="153"/>
      <c r="AW191" s="153"/>
      <c r="AX191" s="153"/>
      <c r="AY191" s="153"/>
      <c r="AZ191" s="153"/>
      <c r="BA191" s="153"/>
      <c r="BB191" s="153"/>
      <c r="BC191" s="153"/>
      <c r="BD191" s="153"/>
      <c r="BE191" s="153"/>
      <c r="BF191" s="153"/>
      <c r="BG191" s="153"/>
      <c r="BH191" s="153"/>
      <c r="BI191" s="153"/>
      <c r="BJ191" s="153"/>
      <c r="BK191" s="153"/>
      <c r="BL191" s="153"/>
      <c r="BM191" s="153"/>
      <c r="BN191" s="153"/>
      <c r="BO191" s="153"/>
      <c r="BP191" s="153"/>
      <c r="BQ191" s="153"/>
    </row>
    <row r="192" spans="1:69" x14ac:dyDescent="0.2">
      <c r="A192" s="153"/>
      <c r="B192" s="153"/>
      <c r="C192" s="153"/>
      <c r="D192" s="153"/>
      <c r="E192" s="153"/>
      <c r="F192" s="153"/>
      <c r="G192" s="153"/>
      <c r="H192" s="153"/>
      <c r="I192" s="153"/>
      <c r="J192" s="153"/>
      <c r="K192" s="153"/>
      <c r="L192" s="153"/>
      <c r="M192" s="153"/>
      <c r="N192" s="153"/>
      <c r="O192" s="153"/>
      <c r="P192" s="153"/>
      <c r="Q192" s="153"/>
      <c r="R192" s="153"/>
      <c r="S192" s="153"/>
      <c r="T192" s="153"/>
      <c r="U192" s="153"/>
      <c r="V192" s="153"/>
      <c r="W192" s="153"/>
      <c r="X192" s="153"/>
      <c r="Y192" s="153"/>
      <c r="Z192" s="153"/>
      <c r="AA192" s="153"/>
      <c r="AB192" s="153"/>
      <c r="AC192" s="153"/>
      <c r="AD192" s="153"/>
      <c r="AE192" s="153"/>
      <c r="AF192" s="153"/>
      <c r="AG192" s="153"/>
      <c r="AH192" s="153"/>
      <c r="AI192" s="153"/>
      <c r="AJ192" s="153"/>
      <c r="AK192" s="153"/>
      <c r="AL192" s="153"/>
      <c r="AM192" s="153"/>
      <c r="AN192" s="153"/>
      <c r="AO192" s="153"/>
      <c r="AP192" s="153"/>
      <c r="AQ192" s="153"/>
      <c r="AR192" s="153"/>
      <c r="AS192" s="153"/>
      <c r="AT192" s="153"/>
      <c r="AU192" s="153"/>
      <c r="AV192" s="153"/>
      <c r="AW192" s="153"/>
      <c r="AX192" s="153"/>
      <c r="AY192" s="153"/>
      <c r="AZ192" s="153"/>
      <c r="BA192" s="153"/>
      <c r="BB192" s="153"/>
      <c r="BC192" s="153"/>
      <c r="BD192" s="153"/>
      <c r="BE192" s="153"/>
      <c r="BF192" s="153"/>
      <c r="BG192" s="153"/>
      <c r="BH192" s="153"/>
      <c r="BI192" s="153"/>
      <c r="BJ192" s="153"/>
      <c r="BK192" s="153"/>
      <c r="BL192" s="153"/>
      <c r="BM192" s="153"/>
      <c r="BN192" s="153"/>
      <c r="BO192" s="153"/>
      <c r="BP192" s="153"/>
      <c r="BQ192" s="153"/>
    </row>
    <row r="193" spans="1:69" x14ac:dyDescent="0.2">
      <c r="A193" s="153"/>
      <c r="B193" s="153"/>
      <c r="C193" s="153"/>
      <c r="D193" s="153"/>
      <c r="E193" s="153"/>
      <c r="F193" s="153"/>
      <c r="G193" s="153"/>
      <c r="H193" s="153"/>
      <c r="I193" s="153"/>
      <c r="J193" s="153"/>
      <c r="K193" s="153"/>
      <c r="L193" s="153"/>
      <c r="M193" s="153"/>
      <c r="N193" s="153"/>
      <c r="O193" s="153"/>
      <c r="P193" s="153"/>
      <c r="Q193" s="153"/>
      <c r="R193" s="153"/>
      <c r="S193" s="153"/>
      <c r="T193" s="153"/>
      <c r="U193" s="153"/>
      <c r="V193" s="153"/>
      <c r="W193" s="153"/>
      <c r="X193" s="153"/>
      <c r="Y193" s="153"/>
      <c r="Z193" s="153"/>
      <c r="AA193" s="153"/>
      <c r="AB193" s="153"/>
      <c r="AC193" s="153"/>
      <c r="AD193" s="153"/>
      <c r="AE193" s="153"/>
      <c r="AF193" s="153"/>
      <c r="AG193" s="153"/>
      <c r="AH193" s="153"/>
      <c r="AI193" s="153"/>
      <c r="AJ193" s="153"/>
      <c r="AK193" s="153"/>
      <c r="AL193" s="153"/>
      <c r="AM193" s="153"/>
      <c r="AN193" s="153"/>
      <c r="AO193" s="153"/>
      <c r="AP193" s="153"/>
      <c r="AQ193" s="153"/>
      <c r="AR193" s="153"/>
      <c r="AS193" s="153"/>
      <c r="AT193" s="153"/>
      <c r="AU193" s="153"/>
      <c r="AV193" s="153"/>
      <c r="AW193" s="153"/>
      <c r="AX193" s="153"/>
      <c r="AY193" s="153"/>
      <c r="AZ193" s="153"/>
      <c r="BA193" s="153"/>
      <c r="BB193" s="153"/>
      <c r="BC193" s="153"/>
      <c r="BD193" s="153"/>
      <c r="BE193" s="153"/>
      <c r="BF193" s="153"/>
      <c r="BG193" s="153"/>
      <c r="BH193" s="153"/>
      <c r="BI193" s="153"/>
      <c r="BJ193" s="153"/>
      <c r="BK193" s="153"/>
      <c r="BL193" s="153"/>
      <c r="BM193" s="153"/>
      <c r="BN193" s="153"/>
      <c r="BO193" s="153"/>
      <c r="BP193" s="153"/>
      <c r="BQ193" s="153"/>
    </row>
    <row r="194" spans="1:69" x14ac:dyDescent="0.2">
      <c r="A194" s="153"/>
      <c r="B194" s="153"/>
      <c r="C194" s="153"/>
      <c r="D194" s="153"/>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c r="AA194" s="153"/>
      <c r="AB194" s="153"/>
      <c r="AC194" s="153"/>
      <c r="AD194" s="153"/>
      <c r="AE194" s="153"/>
      <c r="AF194" s="153"/>
      <c r="AG194" s="153"/>
      <c r="AH194" s="153"/>
      <c r="AI194" s="153"/>
      <c r="AJ194" s="153"/>
      <c r="AK194" s="153"/>
      <c r="AL194" s="153"/>
      <c r="AM194" s="153"/>
      <c r="AN194" s="153"/>
      <c r="AO194" s="153"/>
      <c r="AP194" s="153"/>
      <c r="AQ194" s="153"/>
      <c r="AR194" s="153"/>
      <c r="AS194" s="153"/>
      <c r="AT194" s="153"/>
      <c r="AU194" s="153"/>
      <c r="AV194" s="153"/>
      <c r="AW194" s="153"/>
      <c r="AX194" s="153"/>
      <c r="AY194" s="153"/>
      <c r="AZ194" s="153"/>
      <c r="BA194" s="153"/>
      <c r="BB194" s="153"/>
      <c r="BC194" s="153"/>
      <c r="BD194" s="153"/>
      <c r="BE194" s="153"/>
      <c r="BF194" s="153"/>
      <c r="BG194" s="153"/>
      <c r="BH194" s="153"/>
      <c r="BI194" s="153"/>
      <c r="BJ194" s="153"/>
      <c r="BK194" s="153"/>
      <c r="BL194" s="153"/>
      <c r="BM194" s="153"/>
      <c r="BN194" s="153"/>
      <c r="BO194" s="153"/>
      <c r="BP194" s="153"/>
      <c r="BQ194" s="153"/>
    </row>
    <row r="195" spans="1:69" x14ac:dyDescent="0.2">
      <c r="A195" s="153"/>
      <c r="B195" s="153"/>
      <c r="C195" s="153"/>
      <c r="D195" s="153"/>
      <c r="E195" s="153"/>
      <c r="F195" s="153"/>
      <c r="G195" s="153"/>
      <c r="H195" s="153"/>
      <c r="I195" s="153"/>
      <c r="J195" s="153"/>
      <c r="K195" s="153"/>
      <c r="L195" s="153"/>
      <c r="M195" s="153"/>
      <c r="N195" s="153"/>
      <c r="O195" s="153"/>
      <c r="P195" s="153"/>
      <c r="Q195" s="153"/>
      <c r="R195" s="153"/>
      <c r="S195" s="153"/>
      <c r="T195" s="153"/>
      <c r="U195" s="153"/>
      <c r="V195" s="153"/>
      <c r="W195" s="153"/>
      <c r="X195" s="153"/>
      <c r="Y195" s="153"/>
      <c r="Z195" s="153"/>
      <c r="AA195" s="153"/>
      <c r="AB195" s="153"/>
      <c r="AC195" s="153"/>
      <c r="AD195" s="153"/>
      <c r="AE195" s="153"/>
      <c r="AF195" s="153"/>
      <c r="AG195" s="153"/>
      <c r="AH195" s="153"/>
      <c r="AI195" s="153"/>
      <c r="AJ195" s="153"/>
      <c r="AK195" s="153"/>
      <c r="AL195" s="153"/>
      <c r="AM195" s="153"/>
      <c r="AN195" s="153"/>
      <c r="AO195" s="153"/>
      <c r="AP195" s="153"/>
      <c r="AQ195" s="153"/>
      <c r="AR195" s="153"/>
      <c r="AS195" s="153"/>
      <c r="AT195" s="153"/>
      <c r="AU195" s="153"/>
      <c r="AV195" s="153"/>
      <c r="AW195" s="153"/>
      <c r="AX195" s="153"/>
      <c r="AY195" s="153"/>
      <c r="AZ195" s="153"/>
      <c r="BA195" s="153"/>
      <c r="BB195" s="153"/>
      <c r="BC195" s="153"/>
      <c r="BD195" s="153"/>
      <c r="BE195" s="153"/>
      <c r="BF195" s="153"/>
      <c r="BG195" s="153"/>
      <c r="BH195" s="153"/>
      <c r="BI195" s="153"/>
      <c r="BJ195" s="153"/>
      <c r="BK195" s="153"/>
      <c r="BL195" s="153"/>
      <c r="BM195" s="153"/>
      <c r="BN195" s="153"/>
      <c r="BO195" s="153"/>
      <c r="BP195" s="153"/>
      <c r="BQ195" s="153"/>
    </row>
    <row r="196" spans="1:69" x14ac:dyDescent="0.2">
      <c r="A196" s="153"/>
      <c r="B196" s="153"/>
      <c r="C196" s="153"/>
      <c r="D196" s="153"/>
      <c r="E196" s="153"/>
      <c r="F196" s="153"/>
      <c r="G196" s="153"/>
      <c r="H196" s="153"/>
      <c r="I196" s="153"/>
      <c r="J196" s="153"/>
      <c r="K196" s="153"/>
      <c r="L196" s="153"/>
      <c r="M196" s="153"/>
      <c r="N196" s="153"/>
      <c r="O196" s="153"/>
      <c r="P196" s="153"/>
      <c r="Q196" s="153"/>
      <c r="R196" s="153"/>
      <c r="S196" s="153"/>
      <c r="T196" s="153"/>
      <c r="U196" s="153"/>
      <c r="V196" s="153"/>
      <c r="W196" s="153"/>
      <c r="X196" s="153"/>
      <c r="Y196" s="153"/>
      <c r="Z196" s="153"/>
      <c r="AA196" s="153"/>
      <c r="AB196" s="153"/>
      <c r="AC196" s="153"/>
      <c r="AD196" s="153"/>
      <c r="AE196" s="153"/>
      <c r="AF196" s="153"/>
      <c r="AG196" s="153"/>
      <c r="AH196" s="153"/>
      <c r="AI196" s="153"/>
      <c r="AJ196" s="153"/>
      <c r="AK196" s="153"/>
      <c r="AL196" s="153"/>
      <c r="AM196" s="153"/>
      <c r="AN196" s="153"/>
      <c r="AO196" s="153"/>
      <c r="AP196" s="153"/>
      <c r="AQ196" s="153"/>
      <c r="AR196" s="153"/>
      <c r="AS196" s="153"/>
      <c r="AT196" s="153"/>
      <c r="AU196" s="153"/>
      <c r="AV196" s="153"/>
      <c r="AW196" s="153"/>
      <c r="AX196" s="153"/>
      <c r="AY196" s="153"/>
      <c r="AZ196" s="153"/>
      <c r="BA196" s="153"/>
      <c r="BB196" s="153"/>
      <c r="BC196" s="153"/>
      <c r="BD196" s="153"/>
      <c r="BE196" s="153"/>
      <c r="BF196" s="153"/>
      <c r="BG196" s="153"/>
      <c r="BH196" s="153"/>
      <c r="BI196" s="153"/>
      <c r="BJ196" s="153"/>
      <c r="BK196" s="153"/>
      <c r="BL196" s="153"/>
      <c r="BM196" s="153"/>
      <c r="BN196" s="153"/>
      <c r="BO196" s="153"/>
      <c r="BP196" s="153"/>
      <c r="BQ196" s="153"/>
    </row>
    <row r="197" spans="1:69" x14ac:dyDescent="0.2">
      <c r="A197" s="153"/>
      <c r="B197" s="153"/>
      <c r="C197" s="153"/>
      <c r="D197" s="153"/>
      <c r="E197" s="153"/>
      <c r="F197" s="153"/>
      <c r="G197" s="153"/>
      <c r="H197" s="153"/>
      <c r="I197" s="153"/>
      <c r="J197" s="153"/>
      <c r="K197" s="153"/>
      <c r="L197" s="153"/>
      <c r="M197" s="153"/>
      <c r="N197" s="153"/>
      <c r="O197" s="153"/>
      <c r="P197" s="153"/>
      <c r="Q197" s="153"/>
      <c r="R197" s="153"/>
      <c r="S197" s="153"/>
      <c r="T197" s="153"/>
      <c r="U197" s="153"/>
      <c r="V197" s="153"/>
      <c r="W197" s="153"/>
      <c r="X197" s="153"/>
      <c r="Y197" s="153"/>
      <c r="Z197" s="153"/>
      <c r="AA197" s="153"/>
      <c r="AB197" s="153"/>
      <c r="AC197" s="153"/>
      <c r="AD197" s="153"/>
      <c r="AE197" s="153"/>
      <c r="AF197" s="153"/>
      <c r="AG197" s="153"/>
      <c r="AH197" s="153"/>
      <c r="AI197" s="153"/>
      <c r="AJ197" s="153"/>
      <c r="AK197" s="153"/>
      <c r="AL197" s="153"/>
      <c r="AM197" s="153"/>
      <c r="AN197" s="153"/>
      <c r="AO197" s="153"/>
      <c r="AP197" s="153"/>
      <c r="AQ197" s="153"/>
      <c r="AR197" s="153"/>
      <c r="AS197" s="153"/>
      <c r="AT197" s="153"/>
      <c r="AU197" s="153"/>
      <c r="AV197" s="153"/>
      <c r="AW197" s="153"/>
      <c r="AX197" s="153"/>
      <c r="AY197" s="153"/>
      <c r="AZ197" s="153"/>
      <c r="BA197" s="153"/>
      <c r="BB197" s="153"/>
      <c r="BC197" s="153"/>
      <c r="BD197" s="153"/>
      <c r="BE197" s="153"/>
      <c r="BF197" s="153"/>
      <c r="BG197" s="153"/>
      <c r="BH197" s="153"/>
      <c r="BI197" s="153"/>
      <c r="BJ197" s="153"/>
      <c r="BK197" s="153"/>
      <c r="BL197" s="153"/>
      <c r="BM197" s="153"/>
      <c r="BN197" s="153"/>
      <c r="BO197" s="153"/>
      <c r="BP197" s="153"/>
      <c r="BQ197" s="153"/>
    </row>
    <row r="198" spans="1:69" x14ac:dyDescent="0.2">
      <c r="A198" s="153"/>
      <c r="B198" s="153"/>
      <c r="C198" s="153"/>
      <c r="D198" s="153"/>
      <c r="E198" s="153"/>
      <c r="F198" s="153"/>
      <c r="G198" s="153"/>
      <c r="H198" s="153"/>
      <c r="I198" s="153"/>
      <c r="J198" s="153"/>
      <c r="K198" s="153"/>
      <c r="L198" s="153"/>
      <c r="M198" s="153"/>
      <c r="N198" s="153"/>
      <c r="O198" s="153"/>
      <c r="P198" s="153"/>
      <c r="Q198" s="153"/>
      <c r="R198" s="153"/>
      <c r="S198" s="153"/>
      <c r="T198" s="153"/>
      <c r="U198" s="153"/>
      <c r="V198" s="153"/>
      <c r="W198" s="153"/>
      <c r="X198" s="153"/>
      <c r="Y198" s="153"/>
      <c r="Z198" s="153"/>
      <c r="AA198" s="153"/>
      <c r="AB198" s="153"/>
      <c r="AC198" s="153"/>
      <c r="AD198" s="153"/>
      <c r="AE198" s="153"/>
      <c r="AF198" s="153"/>
      <c r="AG198" s="153"/>
      <c r="AH198" s="153"/>
      <c r="AI198" s="153"/>
      <c r="AJ198" s="153"/>
      <c r="AK198" s="153"/>
      <c r="AL198" s="153"/>
      <c r="AM198" s="153"/>
      <c r="AN198" s="153"/>
      <c r="AO198" s="153"/>
      <c r="AP198" s="153"/>
      <c r="AQ198" s="153"/>
      <c r="AR198" s="153"/>
      <c r="AS198" s="153"/>
      <c r="AT198" s="153"/>
      <c r="AU198" s="153"/>
      <c r="AV198" s="153"/>
      <c r="AW198" s="153"/>
      <c r="AX198" s="153"/>
      <c r="AY198" s="153"/>
      <c r="AZ198" s="153"/>
      <c r="BA198" s="153"/>
      <c r="BB198" s="153"/>
      <c r="BC198" s="153"/>
      <c r="BD198" s="153"/>
      <c r="BE198" s="153"/>
      <c r="BF198" s="153"/>
      <c r="BG198" s="153"/>
      <c r="BH198" s="153"/>
      <c r="BI198" s="153"/>
      <c r="BJ198" s="153"/>
      <c r="BK198" s="153"/>
      <c r="BL198" s="153"/>
      <c r="BM198" s="153"/>
      <c r="BN198" s="153"/>
      <c r="BO198" s="153"/>
      <c r="BP198" s="153"/>
      <c r="BQ198" s="153"/>
    </row>
    <row r="199" spans="1:69" x14ac:dyDescent="0.2">
      <c r="A199" s="153"/>
      <c r="B199" s="153"/>
      <c r="C199" s="153"/>
      <c r="D199" s="153"/>
      <c r="E199" s="153"/>
      <c r="F199" s="153"/>
      <c r="G199" s="153"/>
      <c r="H199" s="153"/>
      <c r="I199" s="153"/>
      <c r="J199" s="153"/>
      <c r="K199" s="153"/>
      <c r="L199" s="153"/>
      <c r="M199" s="153"/>
      <c r="N199" s="153"/>
      <c r="O199" s="153"/>
      <c r="P199" s="153"/>
      <c r="Q199" s="153"/>
      <c r="R199" s="153"/>
      <c r="S199" s="153"/>
      <c r="T199" s="153"/>
      <c r="U199" s="153"/>
      <c r="V199" s="153"/>
      <c r="W199" s="153"/>
      <c r="X199" s="153"/>
      <c r="Y199" s="153"/>
      <c r="Z199" s="153"/>
      <c r="AA199" s="153"/>
      <c r="AB199" s="153"/>
      <c r="AC199" s="153"/>
      <c r="AD199" s="153"/>
      <c r="AE199" s="153"/>
      <c r="AF199" s="153"/>
      <c r="AG199" s="153"/>
      <c r="AH199" s="153"/>
      <c r="AI199" s="153"/>
      <c r="AJ199" s="153"/>
      <c r="AK199" s="153"/>
      <c r="AL199" s="153"/>
      <c r="AM199" s="153"/>
      <c r="AN199" s="153"/>
      <c r="AO199" s="153"/>
      <c r="AP199" s="153"/>
      <c r="AQ199" s="153"/>
      <c r="AR199" s="153"/>
      <c r="AS199" s="153"/>
      <c r="AT199" s="153"/>
      <c r="AU199" s="153"/>
      <c r="AV199" s="153"/>
      <c r="AW199" s="153"/>
      <c r="AX199" s="153"/>
      <c r="AY199" s="153"/>
      <c r="AZ199" s="153"/>
      <c r="BA199" s="153"/>
      <c r="BB199" s="153"/>
      <c r="BC199" s="153"/>
      <c r="BD199" s="153"/>
      <c r="BE199" s="153"/>
      <c r="BF199" s="153"/>
      <c r="BG199" s="153"/>
      <c r="BH199" s="153"/>
      <c r="BI199" s="153"/>
      <c r="BJ199" s="153"/>
      <c r="BK199" s="153"/>
      <c r="BL199" s="153"/>
      <c r="BM199" s="153"/>
      <c r="BN199" s="153"/>
      <c r="BO199" s="153"/>
      <c r="BP199" s="153"/>
      <c r="BQ199" s="153"/>
    </row>
    <row r="200" spans="1:69" x14ac:dyDescent="0.2">
      <c r="A200" s="153"/>
      <c r="B200" s="153"/>
      <c r="C200" s="153"/>
      <c r="D200" s="153"/>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c r="AA200" s="153"/>
      <c r="AB200" s="153"/>
      <c r="AC200" s="153"/>
      <c r="AD200" s="153"/>
      <c r="AE200" s="153"/>
      <c r="AF200" s="153"/>
      <c r="AG200" s="153"/>
      <c r="AH200" s="153"/>
      <c r="AI200" s="153"/>
      <c r="AJ200" s="153"/>
      <c r="AK200" s="153"/>
      <c r="AL200" s="153"/>
      <c r="AM200" s="153"/>
      <c r="AN200" s="153"/>
      <c r="AO200" s="153"/>
      <c r="AP200" s="153"/>
      <c r="AQ200" s="153"/>
      <c r="AR200" s="153"/>
      <c r="AS200" s="153"/>
      <c r="AT200" s="153"/>
      <c r="AU200" s="153"/>
      <c r="AV200" s="153"/>
      <c r="AW200" s="153"/>
      <c r="AX200" s="153"/>
      <c r="AY200" s="153"/>
      <c r="AZ200" s="153"/>
      <c r="BA200" s="153"/>
      <c r="BB200" s="153"/>
      <c r="BC200" s="153"/>
      <c r="BD200" s="153"/>
      <c r="BE200" s="153"/>
      <c r="BF200" s="153"/>
      <c r="BG200" s="153"/>
      <c r="BH200" s="153"/>
      <c r="BI200" s="153"/>
      <c r="BJ200" s="153"/>
      <c r="BK200" s="153"/>
      <c r="BL200" s="153"/>
      <c r="BM200" s="153"/>
      <c r="BN200" s="153"/>
      <c r="BO200" s="153"/>
      <c r="BP200" s="153"/>
      <c r="BQ200" s="153"/>
    </row>
    <row r="201" spans="1:69" x14ac:dyDescent="0.2">
      <c r="A201" s="153"/>
      <c r="B201" s="153"/>
      <c r="C201" s="153"/>
      <c r="D201" s="153"/>
      <c r="E201" s="153"/>
      <c r="F201" s="153"/>
      <c r="G201" s="153"/>
      <c r="H201" s="153"/>
      <c r="I201" s="153"/>
      <c r="J201" s="153"/>
      <c r="K201" s="153"/>
      <c r="L201" s="153"/>
      <c r="M201" s="153"/>
      <c r="N201" s="153"/>
      <c r="O201" s="153"/>
      <c r="P201" s="153"/>
      <c r="Q201" s="153"/>
      <c r="R201" s="153"/>
      <c r="S201" s="153"/>
      <c r="T201" s="153"/>
      <c r="U201" s="153"/>
      <c r="V201" s="153"/>
      <c r="W201" s="153"/>
      <c r="X201" s="153"/>
      <c r="Y201" s="153"/>
      <c r="Z201" s="153"/>
      <c r="AA201" s="153"/>
      <c r="AB201" s="153"/>
      <c r="AC201" s="153"/>
      <c r="AD201" s="153"/>
      <c r="AE201" s="153"/>
      <c r="AF201" s="153"/>
      <c r="AG201" s="153"/>
      <c r="AH201" s="153"/>
      <c r="AI201" s="153"/>
      <c r="AJ201" s="153"/>
      <c r="AK201" s="153"/>
      <c r="AL201" s="153"/>
      <c r="AM201" s="153"/>
      <c r="AN201" s="153"/>
      <c r="AO201" s="153"/>
      <c r="AP201" s="153"/>
      <c r="AQ201" s="153"/>
      <c r="AR201" s="153"/>
      <c r="AS201" s="153"/>
      <c r="AT201" s="153"/>
      <c r="AU201" s="153"/>
      <c r="AV201" s="153"/>
      <c r="AW201" s="153"/>
      <c r="AX201" s="153"/>
      <c r="AY201" s="153"/>
      <c r="AZ201" s="153"/>
      <c r="BA201" s="153"/>
      <c r="BB201" s="153"/>
      <c r="BC201" s="153"/>
      <c r="BD201" s="153"/>
      <c r="BE201" s="153"/>
      <c r="BF201" s="153"/>
      <c r="BG201" s="153"/>
      <c r="BH201" s="153"/>
      <c r="BI201" s="153"/>
      <c r="BJ201" s="153"/>
      <c r="BK201" s="153"/>
      <c r="BL201" s="153"/>
      <c r="BM201" s="153"/>
      <c r="BN201" s="153"/>
      <c r="BO201" s="153"/>
      <c r="BP201" s="153"/>
      <c r="BQ201" s="153"/>
    </row>
    <row r="202" spans="1:69" x14ac:dyDescent="0.2">
      <c r="A202" s="153"/>
      <c r="B202" s="153"/>
      <c r="C202" s="153"/>
      <c r="D202" s="153"/>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c r="AA202" s="153"/>
      <c r="AB202" s="153"/>
      <c r="AC202" s="153"/>
      <c r="AD202" s="153"/>
      <c r="AE202" s="153"/>
      <c r="AF202" s="153"/>
      <c r="AG202" s="153"/>
      <c r="AH202" s="153"/>
      <c r="AI202" s="153"/>
      <c r="AJ202" s="153"/>
      <c r="AK202" s="153"/>
      <c r="AL202" s="153"/>
      <c r="AM202" s="153"/>
      <c r="AN202" s="153"/>
      <c r="AO202" s="153"/>
      <c r="AP202" s="153"/>
      <c r="AQ202" s="153"/>
      <c r="AR202" s="153"/>
      <c r="AS202" s="153"/>
      <c r="AT202" s="153"/>
      <c r="AU202" s="153"/>
      <c r="AV202" s="153"/>
      <c r="AW202" s="153"/>
      <c r="AX202" s="153"/>
      <c r="AY202" s="153"/>
      <c r="AZ202" s="153"/>
      <c r="BA202" s="153"/>
      <c r="BB202" s="153"/>
      <c r="BC202" s="153"/>
      <c r="BD202" s="153"/>
      <c r="BE202" s="153"/>
      <c r="BF202" s="153"/>
      <c r="BG202" s="153"/>
      <c r="BH202" s="153"/>
      <c r="BI202" s="153"/>
      <c r="BJ202" s="153"/>
      <c r="BK202" s="153"/>
      <c r="BL202" s="153"/>
      <c r="BM202" s="153"/>
      <c r="BN202" s="153"/>
      <c r="BO202" s="153"/>
      <c r="BP202" s="153"/>
      <c r="BQ202" s="153"/>
    </row>
    <row r="203" spans="1:69" x14ac:dyDescent="0.2">
      <c r="A203" s="153"/>
      <c r="B203" s="153"/>
      <c r="C203" s="153"/>
      <c r="D203" s="153"/>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c r="AA203" s="153"/>
      <c r="AB203" s="153"/>
      <c r="AC203" s="153"/>
      <c r="AD203" s="153"/>
      <c r="AE203" s="153"/>
      <c r="AF203" s="153"/>
      <c r="AG203" s="153"/>
      <c r="AH203" s="153"/>
      <c r="AI203" s="153"/>
      <c r="AJ203" s="153"/>
      <c r="AK203" s="153"/>
      <c r="AL203" s="153"/>
      <c r="AM203" s="153"/>
      <c r="AN203" s="153"/>
      <c r="AO203" s="153"/>
      <c r="AP203" s="153"/>
      <c r="AQ203" s="153"/>
      <c r="AR203" s="153"/>
      <c r="AS203" s="153"/>
      <c r="AT203" s="153"/>
      <c r="AU203" s="153"/>
      <c r="AV203" s="153"/>
      <c r="AW203" s="153"/>
      <c r="AX203" s="153"/>
      <c r="AY203" s="153"/>
      <c r="AZ203" s="153"/>
      <c r="BA203" s="153"/>
      <c r="BB203" s="153"/>
      <c r="BC203" s="153"/>
      <c r="BD203" s="153"/>
      <c r="BE203" s="153"/>
      <c r="BF203" s="153"/>
      <c r="BG203" s="153"/>
      <c r="BH203" s="153"/>
      <c r="BI203" s="153"/>
      <c r="BJ203" s="153"/>
      <c r="BK203" s="153"/>
      <c r="BL203" s="153"/>
      <c r="BM203" s="153"/>
      <c r="BN203" s="153"/>
      <c r="BO203" s="153"/>
      <c r="BP203" s="153"/>
      <c r="BQ203" s="153"/>
    </row>
    <row r="204" spans="1:69" x14ac:dyDescent="0.2">
      <c r="A204" s="153"/>
      <c r="B204" s="153"/>
      <c r="C204" s="153"/>
      <c r="D204" s="153"/>
      <c r="E204" s="153"/>
      <c r="F204" s="153"/>
      <c r="G204" s="153"/>
      <c r="H204" s="153"/>
      <c r="I204" s="153"/>
      <c r="J204" s="153"/>
      <c r="K204" s="153"/>
      <c r="L204" s="153"/>
      <c r="M204" s="153"/>
      <c r="N204" s="153"/>
      <c r="O204" s="153"/>
      <c r="P204" s="153"/>
      <c r="Q204" s="153"/>
      <c r="R204" s="153"/>
      <c r="S204" s="153"/>
      <c r="T204" s="153"/>
      <c r="U204" s="153"/>
      <c r="V204" s="153"/>
      <c r="W204" s="153"/>
      <c r="X204" s="153"/>
      <c r="Y204" s="153"/>
      <c r="Z204" s="153"/>
      <c r="AA204" s="153"/>
      <c r="AB204" s="153"/>
      <c r="AC204" s="153"/>
      <c r="AD204" s="153"/>
      <c r="AE204" s="153"/>
      <c r="AF204" s="153"/>
      <c r="AG204" s="153"/>
      <c r="AH204" s="153"/>
      <c r="AI204" s="153"/>
      <c r="AJ204" s="153"/>
      <c r="AK204" s="153"/>
      <c r="AL204" s="153"/>
      <c r="AM204" s="153"/>
      <c r="AN204" s="153"/>
      <c r="AO204" s="153"/>
      <c r="AP204" s="153"/>
      <c r="AQ204" s="153"/>
      <c r="AR204" s="153"/>
      <c r="AS204" s="153"/>
      <c r="AT204" s="153"/>
      <c r="AU204" s="153"/>
      <c r="AV204" s="153"/>
      <c r="AW204" s="153"/>
      <c r="AX204" s="153"/>
      <c r="AY204" s="153"/>
      <c r="AZ204" s="153"/>
      <c r="BA204" s="153"/>
      <c r="BB204" s="153"/>
      <c r="BC204" s="153"/>
      <c r="BD204" s="153"/>
      <c r="BE204" s="153"/>
      <c r="BF204" s="153"/>
      <c r="BG204" s="153"/>
      <c r="BH204" s="153"/>
      <c r="BI204" s="153"/>
      <c r="BJ204" s="153"/>
      <c r="BK204" s="153"/>
      <c r="BL204" s="153"/>
      <c r="BM204" s="153"/>
      <c r="BN204" s="153"/>
      <c r="BO204" s="153"/>
      <c r="BP204" s="153"/>
      <c r="BQ204" s="153"/>
    </row>
    <row r="205" spans="1:69" x14ac:dyDescent="0.2">
      <c r="A205" s="153"/>
      <c r="B205" s="153"/>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c r="AI205" s="153"/>
      <c r="AJ205" s="153"/>
      <c r="AK205" s="153"/>
      <c r="AL205" s="153"/>
      <c r="AM205" s="153"/>
      <c r="AN205" s="153"/>
      <c r="AO205" s="153"/>
      <c r="AP205" s="153"/>
      <c r="AQ205" s="153"/>
      <c r="AR205" s="153"/>
      <c r="AS205" s="153"/>
      <c r="AT205" s="153"/>
      <c r="AU205" s="153"/>
      <c r="AV205" s="153"/>
      <c r="AW205" s="153"/>
      <c r="AX205" s="153"/>
      <c r="AY205" s="153"/>
      <c r="AZ205" s="153"/>
      <c r="BA205" s="153"/>
      <c r="BB205" s="153"/>
      <c r="BC205" s="153"/>
      <c r="BD205" s="153"/>
      <c r="BE205" s="153"/>
      <c r="BF205" s="153"/>
      <c r="BG205" s="153"/>
      <c r="BH205" s="153"/>
      <c r="BI205" s="153"/>
      <c r="BJ205" s="153"/>
      <c r="BK205" s="153"/>
      <c r="BL205" s="153"/>
      <c r="BM205" s="153"/>
      <c r="BN205" s="153"/>
      <c r="BO205" s="153"/>
      <c r="BP205" s="153"/>
      <c r="BQ205" s="153"/>
    </row>
    <row r="206" spans="1:69" x14ac:dyDescent="0.2">
      <c r="A206" s="153"/>
      <c r="B206" s="153"/>
      <c r="C206" s="153"/>
      <c r="D206" s="153"/>
      <c r="E206" s="153"/>
      <c r="F206" s="153"/>
      <c r="G206" s="153"/>
      <c r="H206" s="153"/>
      <c r="I206" s="153"/>
      <c r="J206" s="153"/>
      <c r="K206" s="153"/>
      <c r="L206" s="153"/>
      <c r="M206" s="153"/>
      <c r="N206" s="153"/>
      <c r="O206" s="153"/>
      <c r="P206" s="153"/>
      <c r="Q206" s="153"/>
      <c r="R206" s="153"/>
      <c r="S206" s="153"/>
      <c r="T206" s="153"/>
      <c r="U206" s="153"/>
      <c r="V206" s="153"/>
      <c r="W206" s="153"/>
      <c r="X206" s="153"/>
      <c r="Y206" s="153"/>
      <c r="Z206" s="153"/>
      <c r="AA206" s="153"/>
      <c r="AB206" s="153"/>
      <c r="AC206" s="153"/>
      <c r="AD206" s="153"/>
      <c r="AE206" s="153"/>
      <c r="AF206" s="153"/>
      <c r="AG206" s="153"/>
      <c r="AH206" s="153"/>
      <c r="AI206" s="153"/>
      <c r="AJ206" s="153"/>
      <c r="AK206" s="153"/>
      <c r="AL206" s="153"/>
      <c r="AM206" s="153"/>
      <c r="AN206" s="153"/>
      <c r="AO206" s="153"/>
      <c r="AP206" s="153"/>
      <c r="AQ206" s="153"/>
      <c r="AR206" s="153"/>
      <c r="AS206" s="153"/>
      <c r="AT206" s="153"/>
      <c r="AU206" s="153"/>
      <c r="AV206" s="153"/>
      <c r="AW206" s="153"/>
      <c r="AX206" s="153"/>
      <c r="AY206" s="153"/>
      <c r="AZ206" s="153"/>
      <c r="BA206" s="153"/>
      <c r="BB206" s="153"/>
      <c r="BC206" s="153"/>
      <c r="BD206" s="153"/>
      <c r="BE206" s="153"/>
      <c r="BF206" s="153"/>
      <c r="BG206" s="153"/>
      <c r="BH206" s="153"/>
      <c r="BI206" s="153"/>
      <c r="BJ206" s="153"/>
      <c r="BK206" s="153"/>
      <c r="BL206" s="153"/>
      <c r="BM206" s="153"/>
      <c r="BN206" s="153"/>
      <c r="BO206" s="153"/>
      <c r="BP206" s="153"/>
      <c r="BQ206" s="153"/>
    </row>
    <row r="207" spans="1:69" x14ac:dyDescent="0.2">
      <c r="A207" s="153"/>
      <c r="B207" s="153"/>
      <c r="C207" s="153"/>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c r="AA207" s="153"/>
      <c r="AB207" s="153"/>
      <c r="AC207" s="153"/>
      <c r="AD207" s="153"/>
      <c r="AE207" s="153"/>
      <c r="AF207" s="153"/>
      <c r="AG207" s="153"/>
      <c r="AH207" s="153"/>
      <c r="AI207" s="153"/>
      <c r="AJ207" s="153"/>
      <c r="AK207" s="153"/>
      <c r="AL207" s="153"/>
      <c r="AM207" s="153"/>
      <c r="AN207" s="153"/>
      <c r="AO207" s="153"/>
      <c r="AP207" s="153"/>
      <c r="AQ207" s="153"/>
      <c r="AR207" s="153"/>
      <c r="AS207" s="153"/>
      <c r="AT207" s="153"/>
      <c r="AU207" s="153"/>
      <c r="AV207" s="153"/>
      <c r="AW207" s="153"/>
      <c r="AX207" s="153"/>
      <c r="AY207" s="153"/>
      <c r="AZ207" s="153"/>
      <c r="BA207" s="153"/>
      <c r="BB207" s="153"/>
      <c r="BC207" s="153"/>
      <c r="BD207" s="153"/>
      <c r="BE207" s="153"/>
      <c r="BF207" s="153"/>
      <c r="BG207" s="153"/>
      <c r="BH207" s="153"/>
      <c r="BI207" s="153"/>
      <c r="BJ207" s="153"/>
      <c r="BK207" s="153"/>
      <c r="BL207" s="153"/>
      <c r="BM207" s="153"/>
      <c r="BN207" s="153"/>
      <c r="BO207" s="153"/>
      <c r="BP207" s="153"/>
      <c r="BQ207" s="153"/>
    </row>
    <row r="208" spans="1:69" x14ac:dyDescent="0.2">
      <c r="A208" s="153"/>
      <c r="B208" s="153"/>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3"/>
      <c r="Y208" s="153"/>
      <c r="Z208" s="153"/>
      <c r="AA208" s="153"/>
      <c r="AB208" s="153"/>
      <c r="AC208" s="153"/>
      <c r="AD208" s="153"/>
      <c r="AE208" s="153"/>
      <c r="AF208" s="153"/>
      <c r="AG208" s="153"/>
      <c r="AH208" s="153"/>
      <c r="AI208" s="153"/>
      <c r="AJ208" s="153"/>
      <c r="AK208" s="153"/>
      <c r="AL208" s="153"/>
      <c r="AM208" s="153"/>
      <c r="AN208" s="153"/>
      <c r="AO208" s="153"/>
      <c r="AP208" s="153"/>
      <c r="AQ208" s="153"/>
      <c r="AR208" s="153"/>
      <c r="AS208" s="153"/>
      <c r="AT208" s="153"/>
      <c r="AU208" s="153"/>
      <c r="AV208" s="153"/>
      <c r="AW208" s="153"/>
      <c r="AX208" s="153"/>
      <c r="AY208" s="153"/>
      <c r="AZ208" s="153"/>
      <c r="BA208" s="153"/>
      <c r="BB208" s="153"/>
      <c r="BC208" s="153"/>
      <c r="BD208" s="153"/>
      <c r="BE208" s="153"/>
      <c r="BF208" s="153"/>
      <c r="BG208" s="153"/>
      <c r="BH208" s="153"/>
      <c r="BI208" s="153"/>
      <c r="BJ208" s="153"/>
      <c r="BK208" s="153"/>
      <c r="BL208" s="153"/>
      <c r="BM208" s="153"/>
      <c r="BN208" s="153"/>
      <c r="BO208" s="153"/>
      <c r="BP208" s="153"/>
      <c r="BQ208" s="153"/>
    </row>
    <row r="209" spans="1:69" x14ac:dyDescent="0.2">
      <c r="A209" s="153"/>
      <c r="B209" s="153"/>
      <c r="C209" s="153"/>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c r="AA209" s="153"/>
      <c r="AB209" s="153"/>
      <c r="AC209" s="153"/>
      <c r="AD209" s="153"/>
      <c r="AE209" s="153"/>
      <c r="AF209" s="153"/>
      <c r="AG209" s="153"/>
      <c r="AH209" s="153"/>
      <c r="AI209" s="153"/>
      <c r="AJ209" s="153"/>
      <c r="AK209" s="153"/>
      <c r="AL209" s="153"/>
      <c r="AM209" s="153"/>
      <c r="AN209" s="153"/>
      <c r="AO209" s="153"/>
      <c r="AP209" s="153"/>
      <c r="AQ209" s="153"/>
      <c r="AR209" s="153"/>
      <c r="AS209" s="153"/>
      <c r="AT209" s="153"/>
      <c r="AU209" s="153"/>
      <c r="AV209" s="153"/>
      <c r="AW209" s="153"/>
      <c r="AX209" s="153"/>
      <c r="AY209" s="153"/>
      <c r="AZ209" s="153"/>
      <c r="BA209" s="153"/>
      <c r="BB209" s="153"/>
      <c r="BC209" s="153"/>
      <c r="BD209" s="153"/>
      <c r="BE209" s="153"/>
      <c r="BF209" s="153"/>
      <c r="BG209" s="153"/>
      <c r="BH209" s="153"/>
      <c r="BI209" s="153"/>
      <c r="BJ209" s="153"/>
      <c r="BK209" s="153"/>
      <c r="BL209" s="153"/>
      <c r="BM209" s="153"/>
      <c r="BN209" s="153"/>
      <c r="BO209" s="153"/>
      <c r="BP209" s="153"/>
      <c r="BQ209" s="153"/>
    </row>
    <row r="210" spans="1:69" x14ac:dyDescent="0.2">
      <c r="A210" s="153"/>
      <c r="B210" s="153"/>
      <c r="C210" s="153"/>
      <c r="D210" s="153"/>
      <c r="E210" s="153"/>
      <c r="F210" s="153"/>
      <c r="G210" s="153"/>
      <c r="H210" s="153"/>
      <c r="I210" s="153"/>
      <c r="J210" s="153"/>
      <c r="K210" s="153"/>
      <c r="L210" s="153"/>
      <c r="M210" s="153"/>
      <c r="N210" s="153"/>
      <c r="O210" s="153"/>
      <c r="P210" s="153"/>
      <c r="Q210" s="153"/>
      <c r="R210" s="153"/>
      <c r="S210" s="153"/>
      <c r="T210" s="153"/>
      <c r="U210" s="153"/>
      <c r="V210" s="153"/>
      <c r="W210" s="153"/>
      <c r="X210" s="153"/>
      <c r="Y210" s="153"/>
      <c r="Z210" s="153"/>
      <c r="AA210" s="153"/>
      <c r="AB210" s="153"/>
      <c r="AC210" s="153"/>
      <c r="AD210" s="153"/>
      <c r="AE210" s="153"/>
      <c r="AF210" s="153"/>
      <c r="AG210" s="153"/>
      <c r="AH210" s="153"/>
      <c r="AI210" s="153"/>
      <c r="AJ210" s="153"/>
      <c r="AK210" s="153"/>
      <c r="AL210" s="153"/>
      <c r="AM210" s="153"/>
      <c r="AN210" s="153"/>
      <c r="AO210" s="153"/>
      <c r="AP210" s="153"/>
      <c r="AQ210" s="153"/>
      <c r="AR210" s="153"/>
      <c r="AS210" s="153"/>
      <c r="AT210" s="153"/>
      <c r="AU210" s="153"/>
      <c r="AV210" s="153"/>
      <c r="AW210" s="153"/>
      <c r="AX210" s="153"/>
      <c r="AY210" s="153"/>
      <c r="AZ210" s="153"/>
      <c r="BA210" s="153"/>
      <c r="BB210" s="153"/>
      <c r="BC210" s="153"/>
      <c r="BD210" s="153"/>
      <c r="BE210" s="153"/>
      <c r="BF210" s="153"/>
      <c r="BG210" s="153"/>
      <c r="BH210" s="153"/>
      <c r="BI210" s="153"/>
      <c r="BJ210" s="153"/>
      <c r="BK210" s="153"/>
      <c r="BL210" s="153"/>
      <c r="BM210" s="153"/>
      <c r="BN210" s="153"/>
      <c r="BO210" s="153"/>
      <c r="BP210" s="153"/>
      <c r="BQ210" s="153"/>
    </row>
    <row r="211" spans="1:69" x14ac:dyDescent="0.2">
      <c r="A211" s="153"/>
      <c r="B211" s="153"/>
      <c r="C211" s="153"/>
      <c r="D211" s="153"/>
      <c r="E211" s="153"/>
      <c r="F211" s="153"/>
      <c r="G211" s="153"/>
      <c r="H211" s="153"/>
      <c r="I211" s="153"/>
      <c r="J211" s="153"/>
      <c r="K211" s="153"/>
      <c r="L211" s="153"/>
      <c r="M211" s="153"/>
      <c r="N211" s="153"/>
      <c r="O211" s="153"/>
      <c r="P211" s="153"/>
      <c r="Q211" s="153"/>
      <c r="R211" s="153"/>
      <c r="S211" s="153"/>
      <c r="T211" s="153"/>
      <c r="U211" s="153"/>
      <c r="V211" s="153"/>
      <c r="W211" s="153"/>
      <c r="X211" s="153"/>
      <c r="Y211" s="153"/>
      <c r="Z211" s="153"/>
      <c r="AA211" s="153"/>
      <c r="AB211" s="153"/>
      <c r="AC211" s="153"/>
      <c r="AD211" s="153"/>
      <c r="AE211" s="153"/>
      <c r="AF211" s="153"/>
      <c r="AG211" s="153"/>
      <c r="AH211" s="153"/>
      <c r="AI211" s="153"/>
      <c r="AJ211" s="153"/>
      <c r="AK211" s="153"/>
      <c r="AL211" s="153"/>
      <c r="AM211" s="153"/>
      <c r="AN211" s="153"/>
      <c r="AO211" s="153"/>
      <c r="AP211" s="153"/>
      <c r="AQ211" s="153"/>
      <c r="AR211" s="153"/>
      <c r="AS211" s="153"/>
      <c r="AT211" s="153"/>
      <c r="AU211" s="153"/>
      <c r="AV211" s="153"/>
      <c r="AW211" s="153"/>
      <c r="AX211" s="153"/>
      <c r="AY211" s="153"/>
      <c r="AZ211" s="153"/>
      <c r="BA211" s="153"/>
      <c r="BB211" s="153"/>
      <c r="BC211" s="153"/>
      <c r="BD211" s="153"/>
      <c r="BE211" s="153"/>
      <c r="BF211" s="153"/>
      <c r="BG211" s="153"/>
      <c r="BH211" s="153"/>
      <c r="BI211" s="153"/>
      <c r="BJ211" s="153"/>
      <c r="BK211" s="153"/>
      <c r="BL211" s="153"/>
      <c r="BM211" s="153"/>
      <c r="BN211" s="153"/>
      <c r="BO211" s="153"/>
      <c r="BP211" s="153"/>
      <c r="BQ211" s="153"/>
    </row>
    <row r="212" spans="1:69" x14ac:dyDescent="0.2">
      <c r="A212" s="153"/>
      <c r="B212" s="153"/>
      <c r="C212" s="153"/>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c r="AA212" s="153"/>
      <c r="AB212" s="153"/>
      <c r="AC212" s="153"/>
      <c r="AD212" s="153"/>
      <c r="AE212" s="153"/>
      <c r="AF212" s="153"/>
      <c r="AG212" s="153"/>
      <c r="AH212" s="153"/>
      <c r="AI212" s="153"/>
      <c r="AJ212" s="153"/>
      <c r="AK212" s="153"/>
      <c r="AL212" s="153"/>
      <c r="AM212" s="153"/>
      <c r="AN212" s="153"/>
      <c r="AO212" s="153"/>
      <c r="AP212" s="153"/>
      <c r="AQ212" s="153"/>
      <c r="AR212" s="153"/>
      <c r="AS212" s="153"/>
      <c r="AT212" s="153"/>
      <c r="AU212" s="153"/>
      <c r="AV212" s="153"/>
      <c r="AW212" s="153"/>
      <c r="AX212" s="153"/>
      <c r="AY212" s="153"/>
      <c r="AZ212" s="153"/>
      <c r="BA212" s="153"/>
      <c r="BB212" s="153"/>
      <c r="BC212" s="153"/>
      <c r="BD212" s="153"/>
      <c r="BE212" s="153"/>
      <c r="BF212" s="153"/>
      <c r="BG212" s="153"/>
      <c r="BH212" s="153"/>
      <c r="BI212" s="153"/>
      <c r="BJ212" s="153"/>
      <c r="BK212" s="153"/>
      <c r="BL212" s="153"/>
      <c r="BM212" s="153"/>
      <c r="BN212" s="153"/>
      <c r="BO212" s="153"/>
      <c r="BP212" s="153"/>
      <c r="BQ212" s="153"/>
    </row>
    <row r="213" spans="1:69" x14ac:dyDescent="0.2">
      <c r="A213" s="153"/>
      <c r="B213" s="153"/>
      <c r="C213" s="153"/>
      <c r="D213" s="153"/>
      <c r="E213" s="153"/>
      <c r="F213" s="153"/>
      <c r="G213" s="153"/>
      <c r="H213" s="153"/>
      <c r="I213" s="153"/>
      <c r="J213" s="153"/>
      <c r="K213" s="153"/>
      <c r="L213" s="153"/>
      <c r="M213" s="153"/>
      <c r="N213" s="153"/>
      <c r="O213" s="153"/>
      <c r="P213" s="153"/>
      <c r="Q213" s="153"/>
      <c r="R213" s="153"/>
      <c r="S213" s="153"/>
      <c r="T213" s="153"/>
      <c r="U213" s="153"/>
      <c r="V213" s="153"/>
      <c r="W213" s="153"/>
      <c r="X213" s="153"/>
      <c r="Y213" s="153"/>
      <c r="Z213" s="153"/>
      <c r="AA213" s="153"/>
      <c r="AB213" s="153"/>
      <c r="AC213" s="153"/>
      <c r="AD213" s="153"/>
      <c r="AE213" s="153"/>
      <c r="AF213" s="153"/>
      <c r="AG213" s="153"/>
      <c r="AH213" s="153"/>
      <c r="AI213" s="153"/>
      <c r="AJ213" s="153"/>
      <c r="AK213" s="153"/>
      <c r="AL213" s="153"/>
      <c r="AM213" s="153"/>
      <c r="AN213" s="153"/>
      <c r="AO213" s="153"/>
      <c r="AP213" s="153"/>
      <c r="AQ213" s="153"/>
      <c r="AR213" s="153"/>
      <c r="AS213" s="153"/>
      <c r="AT213" s="153"/>
      <c r="AU213" s="153"/>
      <c r="AV213" s="153"/>
      <c r="AW213" s="153"/>
      <c r="AX213" s="153"/>
      <c r="AY213" s="153"/>
      <c r="AZ213" s="153"/>
      <c r="BA213" s="153"/>
      <c r="BB213" s="153"/>
      <c r="BC213" s="153"/>
      <c r="BD213" s="153"/>
      <c r="BE213" s="153"/>
      <c r="BF213" s="153"/>
      <c r="BG213" s="153"/>
      <c r="BH213" s="153"/>
      <c r="BI213" s="153"/>
      <c r="BJ213" s="153"/>
      <c r="BK213" s="153"/>
      <c r="BL213" s="153"/>
      <c r="BM213" s="153"/>
      <c r="BN213" s="153"/>
      <c r="BO213" s="153"/>
      <c r="BP213" s="153"/>
      <c r="BQ213" s="153"/>
    </row>
    <row r="214" spans="1:69" x14ac:dyDescent="0.2">
      <c r="A214" s="153"/>
      <c r="B214" s="153"/>
      <c r="C214" s="153"/>
      <c r="D214" s="153"/>
      <c r="E214" s="153"/>
      <c r="F214" s="153"/>
      <c r="G214" s="153"/>
      <c r="H214" s="153"/>
      <c r="I214" s="153"/>
      <c r="J214" s="153"/>
      <c r="K214" s="153"/>
      <c r="L214" s="153"/>
      <c r="M214" s="153"/>
      <c r="N214" s="153"/>
      <c r="O214" s="153"/>
      <c r="P214" s="153"/>
      <c r="Q214" s="153"/>
      <c r="R214" s="153"/>
      <c r="S214" s="153"/>
      <c r="T214" s="153"/>
      <c r="U214" s="153"/>
      <c r="V214" s="153"/>
      <c r="W214" s="153"/>
      <c r="X214" s="153"/>
      <c r="Y214" s="153"/>
      <c r="Z214" s="153"/>
      <c r="AA214" s="153"/>
      <c r="AB214" s="153"/>
      <c r="AC214" s="153"/>
      <c r="AD214" s="153"/>
      <c r="AE214" s="153"/>
      <c r="AF214" s="153"/>
      <c r="AG214" s="153"/>
      <c r="AH214" s="153"/>
      <c r="AI214" s="153"/>
      <c r="AJ214" s="153"/>
      <c r="AK214" s="153"/>
      <c r="AL214" s="153"/>
      <c r="AM214" s="153"/>
      <c r="AN214" s="153"/>
      <c r="AO214" s="153"/>
      <c r="AP214" s="153"/>
      <c r="AQ214" s="153"/>
      <c r="AR214" s="153"/>
      <c r="AS214" s="153"/>
      <c r="AT214" s="153"/>
      <c r="AU214" s="153"/>
      <c r="AV214" s="153"/>
      <c r="AW214" s="153"/>
      <c r="AX214" s="153"/>
      <c r="AY214" s="153"/>
      <c r="AZ214" s="153"/>
      <c r="BA214" s="153"/>
      <c r="BB214" s="153"/>
      <c r="BC214" s="153"/>
      <c r="BD214" s="153"/>
      <c r="BE214" s="153"/>
      <c r="BF214" s="153"/>
      <c r="BG214" s="153"/>
      <c r="BH214" s="153"/>
      <c r="BI214" s="153"/>
      <c r="BJ214" s="153"/>
      <c r="BK214" s="153"/>
      <c r="BL214" s="153"/>
      <c r="BM214" s="153"/>
      <c r="BN214" s="153"/>
      <c r="BO214" s="153"/>
      <c r="BP214" s="153"/>
      <c r="BQ214" s="153"/>
    </row>
    <row r="215" spans="1:69" x14ac:dyDescent="0.2">
      <c r="A215" s="153"/>
      <c r="B215" s="153"/>
      <c r="C215" s="153"/>
      <c r="D215" s="153"/>
      <c r="E215" s="153"/>
      <c r="F215" s="153"/>
      <c r="G215" s="153"/>
      <c r="H215" s="153"/>
      <c r="I215" s="153"/>
      <c r="J215" s="153"/>
      <c r="K215" s="153"/>
      <c r="L215" s="153"/>
      <c r="M215" s="153"/>
      <c r="N215" s="153"/>
      <c r="O215" s="153"/>
      <c r="P215" s="153"/>
      <c r="Q215" s="153"/>
      <c r="R215" s="153"/>
      <c r="S215" s="153"/>
      <c r="T215" s="153"/>
      <c r="U215" s="153"/>
      <c r="V215" s="153"/>
      <c r="W215" s="153"/>
      <c r="X215" s="153"/>
      <c r="Y215" s="153"/>
      <c r="Z215" s="153"/>
      <c r="AA215" s="153"/>
      <c r="AB215" s="153"/>
      <c r="AC215" s="153"/>
      <c r="AD215" s="153"/>
      <c r="AE215" s="153"/>
      <c r="AF215" s="153"/>
      <c r="AG215" s="153"/>
      <c r="AH215" s="153"/>
      <c r="AI215" s="153"/>
      <c r="AJ215" s="153"/>
      <c r="AK215" s="153"/>
      <c r="AL215" s="153"/>
      <c r="AM215" s="153"/>
      <c r="AN215" s="153"/>
      <c r="AO215" s="153"/>
      <c r="AP215" s="153"/>
      <c r="AQ215" s="153"/>
      <c r="AR215" s="153"/>
      <c r="AS215" s="153"/>
      <c r="AT215" s="153"/>
      <c r="AU215" s="153"/>
      <c r="AV215" s="153"/>
      <c r="AW215" s="153"/>
      <c r="AX215" s="153"/>
      <c r="AY215" s="153"/>
      <c r="AZ215" s="153"/>
      <c r="BA215" s="153"/>
      <c r="BB215" s="153"/>
      <c r="BC215" s="153"/>
      <c r="BD215" s="153"/>
      <c r="BE215" s="153"/>
      <c r="BF215" s="153"/>
      <c r="BG215" s="153"/>
      <c r="BH215" s="153"/>
      <c r="BI215" s="153"/>
      <c r="BJ215" s="153"/>
      <c r="BK215" s="153"/>
      <c r="BL215" s="153"/>
      <c r="BM215" s="153"/>
      <c r="BN215" s="153"/>
      <c r="BO215" s="153"/>
      <c r="BP215" s="153"/>
      <c r="BQ215" s="153"/>
    </row>
    <row r="216" spans="1:69" x14ac:dyDescent="0.2">
      <c r="A216" s="153"/>
      <c r="B216" s="153"/>
      <c r="C216" s="153"/>
      <c r="D216" s="153"/>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c r="AA216" s="153"/>
      <c r="AB216" s="153"/>
      <c r="AC216" s="153"/>
      <c r="AD216" s="153"/>
      <c r="AE216" s="153"/>
      <c r="AF216" s="153"/>
      <c r="AG216" s="153"/>
      <c r="AH216" s="153"/>
      <c r="AI216" s="153"/>
      <c r="AJ216" s="153"/>
      <c r="AK216" s="153"/>
      <c r="AL216" s="153"/>
      <c r="AM216" s="153"/>
      <c r="AN216" s="153"/>
      <c r="AO216" s="153"/>
      <c r="AP216" s="153"/>
      <c r="AQ216" s="153"/>
      <c r="AR216" s="153"/>
      <c r="AS216" s="153"/>
      <c r="AT216" s="153"/>
      <c r="AU216" s="153"/>
      <c r="AV216" s="153"/>
      <c r="AW216" s="153"/>
      <c r="AX216" s="153"/>
      <c r="AY216" s="153"/>
      <c r="AZ216" s="153"/>
      <c r="BA216" s="153"/>
      <c r="BB216" s="153"/>
      <c r="BC216" s="153"/>
      <c r="BD216" s="153"/>
      <c r="BE216" s="153"/>
      <c r="BF216" s="153"/>
      <c r="BG216" s="153"/>
      <c r="BH216" s="153"/>
      <c r="BI216" s="153"/>
      <c r="BJ216" s="153"/>
      <c r="BK216" s="153"/>
      <c r="BL216" s="153"/>
      <c r="BM216" s="153"/>
      <c r="BN216" s="153"/>
      <c r="BO216" s="153"/>
      <c r="BP216" s="153"/>
      <c r="BQ216" s="153"/>
    </row>
    <row r="217" spans="1:69" x14ac:dyDescent="0.2">
      <c r="A217" s="153"/>
      <c r="B217" s="153"/>
      <c r="C217" s="153"/>
      <c r="D217" s="153"/>
      <c r="E217" s="153"/>
      <c r="F217" s="153"/>
      <c r="G217" s="153"/>
      <c r="H217" s="153"/>
      <c r="I217" s="153"/>
      <c r="J217" s="153"/>
      <c r="K217" s="153"/>
      <c r="L217" s="153"/>
      <c r="M217" s="153"/>
      <c r="N217" s="153"/>
      <c r="O217" s="153"/>
      <c r="P217" s="153"/>
      <c r="Q217" s="153"/>
      <c r="R217" s="153"/>
      <c r="S217" s="153"/>
      <c r="T217" s="153"/>
      <c r="U217" s="153"/>
      <c r="V217" s="153"/>
      <c r="W217" s="153"/>
      <c r="X217" s="153"/>
      <c r="Y217" s="153"/>
      <c r="Z217" s="153"/>
      <c r="AA217" s="153"/>
      <c r="AB217" s="153"/>
      <c r="AC217" s="153"/>
      <c r="AD217" s="153"/>
      <c r="AE217" s="153"/>
      <c r="AF217" s="153"/>
      <c r="AG217" s="153"/>
      <c r="AH217" s="153"/>
      <c r="AI217" s="153"/>
      <c r="AJ217" s="153"/>
      <c r="AK217" s="153"/>
      <c r="AL217" s="153"/>
      <c r="AM217" s="153"/>
      <c r="AN217" s="153"/>
      <c r="AO217" s="153"/>
      <c r="AP217" s="153"/>
      <c r="AQ217" s="153"/>
      <c r="AR217" s="153"/>
      <c r="AS217" s="153"/>
      <c r="AT217" s="153"/>
      <c r="AU217" s="153"/>
      <c r="AV217" s="153"/>
      <c r="AW217" s="153"/>
      <c r="AX217" s="153"/>
      <c r="AY217" s="153"/>
      <c r="AZ217" s="153"/>
      <c r="BA217" s="153"/>
      <c r="BB217" s="153"/>
      <c r="BC217" s="153"/>
      <c r="BD217" s="153"/>
      <c r="BE217" s="153"/>
      <c r="BF217" s="153"/>
      <c r="BG217" s="153"/>
      <c r="BH217" s="153"/>
      <c r="BI217" s="153"/>
      <c r="BJ217" s="153"/>
      <c r="BK217" s="153"/>
      <c r="BL217" s="153"/>
      <c r="BM217" s="153"/>
      <c r="BN217" s="153"/>
      <c r="BO217" s="153"/>
      <c r="BP217" s="153"/>
      <c r="BQ217" s="153"/>
    </row>
    <row r="218" spans="1:69" x14ac:dyDescent="0.2">
      <c r="A218" s="153"/>
      <c r="B218" s="153"/>
      <c r="C218" s="153"/>
      <c r="D218" s="153"/>
      <c r="E218" s="153"/>
      <c r="F218" s="153"/>
      <c r="G218" s="153"/>
      <c r="H218" s="153"/>
      <c r="I218" s="153"/>
      <c r="J218" s="153"/>
      <c r="K218" s="153"/>
      <c r="L218" s="153"/>
      <c r="M218" s="153"/>
      <c r="N218" s="153"/>
      <c r="O218" s="153"/>
      <c r="P218" s="153"/>
      <c r="Q218" s="153"/>
      <c r="R218" s="153"/>
      <c r="S218" s="153"/>
      <c r="T218" s="153"/>
      <c r="U218" s="153"/>
      <c r="V218" s="153"/>
      <c r="W218" s="153"/>
      <c r="X218" s="153"/>
      <c r="Y218" s="153"/>
      <c r="Z218" s="153"/>
      <c r="AA218" s="153"/>
      <c r="AB218" s="153"/>
      <c r="AC218" s="153"/>
      <c r="AD218" s="153"/>
      <c r="AE218" s="153"/>
      <c r="AF218" s="153"/>
      <c r="AG218" s="153"/>
      <c r="AH218" s="153"/>
      <c r="AI218" s="153"/>
      <c r="AJ218" s="153"/>
      <c r="AK218" s="153"/>
      <c r="AL218" s="153"/>
      <c r="AM218" s="153"/>
      <c r="AN218" s="153"/>
      <c r="AO218" s="153"/>
      <c r="AP218" s="153"/>
      <c r="AQ218" s="153"/>
      <c r="AR218" s="153"/>
      <c r="AS218" s="153"/>
      <c r="AT218" s="153"/>
      <c r="AU218" s="153"/>
      <c r="AV218" s="153"/>
      <c r="AW218" s="153"/>
      <c r="AX218" s="153"/>
      <c r="AY218" s="153"/>
      <c r="AZ218" s="153"/>
      <c r="BA218" s="153"/>
      <c r="BB218" s="153"/>
      <c r="BC218" s="153"/>
      <c r="BD218" s="153"/>
      <c r="BE218" s="153"/>
      <c r="BF218" s="153"/>
      <c r="BG218" s="153"/>
      <c r="BH218" s="153"/>
      <c r="BI218" s="153"/>
      <c r="BJ218" s="153"/>
      <c r="BK218" s="153"/>
      <c r="BL218" s="153"/>
      <c r="BM218" s="153"/>
      <c r="BN218" s="153"/>
      <c r="BO218" s="153"/>
      <c r="BP218" s="153"/>
      <c r="BQ218" s="153"/>
    </row>
    <row r="219" spans="1:69" x14ac:dyDescent="0.2">
      <c r="A219" s="153"/>
      <c r="B219" s="153"/>
      <c r="C219" s="153"/>
      <c r="D219" s="153"/>
      <c r="E219" s="153"/>
      <c r="F219" s="153"/>
      <c r="G219" s="153"/>
      <c r="H219" s="153"/>
      <c r="I219" s="153"/>
      <c r="J219" s="153"/>
      <c r="K219" s="153"/>
      <c r="L219" s="153"/>
      <c r="M219" s="153"/>
      <c r="N219" s="153"/>
      <c r="O219" s="153"/>
      <c r="P219" s="153"/>
      <c r="Q219" s="153"/>
      <c r="R219" s="153"/>
      <c r="S219" s="153"/>
      <c r="T219" s="153"/>
      <c r="U219" s="153"/>
      <c r="V219" s="153"/>
      <c r="W219" s="153"/>
      <c r="X219" s="153"/>
      <c r="Y219" s="153"/>
      <c r="Z219" s="153"/>
      <c r="AA219" s="153"/>
      <c r="AB219" s="153"/>
      <c r="AC219" s="153"/>
      <c r="AD219" s="153"/>
      <c r="AE219" s="153"/>
      <c r="AF219" s="153"/>
      <c r="AG219" s="153"/>
      <c r="AH219" s="153"/>
      <c r="AI219" s="153"/>
      <c r="AJ219" s="153"/>
      <c r="AK219" s="153"/>
      <c r="AL219" s="153"/>
      <c r="AM219" s="153"/>
      <c r="AN219" s="153"/>
      <c r="AO219" s="153"/>
      <c r="AP219" s="153"/>
      <c r="AQ219" s="153"/>
      <c r="AR219" s="153"/>
      <c r="AS219" s="153"/>
      <c r="AT219" s="153"/>
      <c r="AU219" s="153"/>
      <c r="AV219" s="153"/>
      <c r="AW219" s="153"/>
      <c r="AX219" s="153"/>
      <c r="AY219" s="153"/>
      <c r="AZ219" s="153"/>
      <c r="BA219" s="153"/>
      <c r="BB219" s="153"/>
      <c r="BC219" s="153"/>
      <c r="BD219" s="153"/>
      <c r="BE219" s="153"/>
      <c r="BF219" s="153"/>
      <c r="BG219" s="153"/>
      <c r="BH219" s="153"/>
      <c r="BI219" s="153"/>
      <c r="BJ219" s="153"/>
      <c r="BK219" s="153"/>
      <c r="BL219" s="153"/>
      <c r="BM219" s="153"/>
      <c r="BN219" s="153"/>
      <c r="BO219" s="153"/>
      <c r="BP219" s="153"/>
      <c r="BQ219" s="153"/>
    </row>
    <row r="220" spans="1:69" x14ac:dyDescent="0.2">
      <c r="A220" s="153"/>
      <c r="B220" s="153"/>
      <c r="C220" s="153"/>
      <c r="D220" s="153"/>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c r="AA220" s="153"/>
      <c r="AB220" s="153"/>
      <c r="AC220" s="153"/>
      <c r="AD220" s="153"/>
      <c r="AE220" s="153"/>
      <c r="AF220" s="153"/>
      <c r="AG220" s="153"/>
      <c r="AH220" s="153"/>
      <c r="AI220" s="153"/>
      <c r="AJ220" s="153"/>
      <c r="AK220" s="153"/>
      <c r="AL220" s="153"/>
      <c r="AM220" s="153"/>
      <c r="AN220" s="153"/>
      <c r="AO220" s="153"/>
      <c r="AP220" s="153"/>
      <c r="AQ220" s="153"/>
      <c r="AR220" s="153"/>
      <c r="AS220" s="153"/>
      <c r="AT220" s="153"/>
      <c r="AU220" s="153"/>
      <c r="AV220" s="153"/>
      <c r="AW220" s="153"/>
      <c r="AX220" s="153"/>
      <c r="AY220" s="153"/>
      <c r="AZ220" s="153"/>
      <c r="BA220" s="153"/>
      <c r="BB220" s="153"/>
      <c r="BC220" s="153"/>
      <c r="BD220" s="153"/>
      <c r="BE220" s="153"/>
      <c r="BF220" s="153"/>
      <c r="BG220" s="153"/>
      <c r="BH220" s="153"/>
      <c r="BI220" s="153"/>
      <c r="BJ220" s="153"/>
      <c r="BK220" s="153"/>
      <c r="BL220" s="153"/>
      <c r="BM220" s="153"/>
      <c r="BN220" s="153"/>
      <c r="BO220" s="153"/>
      <c r="BP220" s="153"/>
      <c r="BQ220" s="153"/>
    </row>
    <row r="221" spans="1:69" x14ac:dyDescent="0.2">
      <c r="A221" s="153"/>
      <c r="B221" s="153"/>
      <c r="C221" s="153"/>
      <c r="D221" s="153"/>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c r="AA221" s="153"/>
      <c r="AB221" s="153"/>
      <c r="AC221" s="153"/>
      <c r="AD221" s="153"/>
      <c r="AE221" s="153"/>
      <c r="AF221" s="153"/>
      <c r="AG221" s="153"/>
      <c r="AH221" s="153"/>
      <c r="AI221" s="153"/>
      <c r="AJ221" s="153"/>
      <c r="AK221" s="153"/>
      <c r="AL221" s="153"/>
      <c r="AM221" s="153"/>
      <c r="AN221" s="153"/>
      <c r="AO221" s="153"/>
      <c r="AP221" s="153"/>
      <c r="AQ221" s="153"/>
      <c r="AR221" s="153"/>
      <c r="AS221" s="153"/>
      <c r="AT221" s="153"/>
      <c r="AU221" s="153"/>
      <c r="AV221" s="153"/>
      <c r="AW221" s="153"/>
      <c r="AX221" s="153"/>
      <c r="AY221" s="153"/>
      <c r="AZ221" s="153"/>
      <c r="BA221" s="153"/>
      <c r="BB221" s="153"/>
      <c r="BC221" s="153"/>
      <c r="BD221" s="153"/>
      <c r="BE221" s="153"/>
      <c r="BF221" s="153"/>
      <c r="BG221" s="153"/>
      <c r="BH221" s="153"/>
      <c r="BI221" s="153"/>
      <c r="BJ221" s="153"/>
      <c r="BK221" s="153"/>
      <c r="BL221" s="153"/>
      <c r="BM221" s="153"/>
      <c r="BN221" s="153"/>
      <c r="BO221" s="153"/>
      <c r="BP221" s="153"/>
      <c r="BQ221" s="153"/>
    </row>
    <row r="222" spans="1:69" x14ac:dyDescent="0.2">
      <c r="A222" s="153"/>
      <c r="B222" s="153"/>
      <c r="C222" s="153"/>
      <c r="D222" s="153"/>
      <c r="E222" s="153"/>
      <c r="F222" s="153"/>
      <c r="G222" s="153"/>
      <c r="H222" s="153"/>
      <c r="I222" s="153"/>
      <c r="J222" s="153"/>
      <c r="K222" s="153"/>
      <c r="L222" s="153"/>
      <c r="M222" s="153"/>
      <c r="N222" s="153"/>
      <c r="O222" s="153"/>
      <c r="P222" s="153"/>
      <c r="Q222" s="153"/>
      <c r="R222" s="153"/>
      <c r="S222" s="153"/>
      <c r="T222" s="153"/>
      <c r="U222" s="153"/>
      <c r="V222" s="153"/>
      <c r="W222" s="153"/>
      <c r="X222" s="153"/>
      <c r="Y222" s="153"/>
      <c r="Z222" s="153"/>
      <c r="AA222" s="153"/>
      <c r="AB222" s="153"/>
      <c r="AC222" s="153"/>
      <c r="AD222" s="153"/>
      <c r="AE222" s="153"/>
      <c r="AF222" s="153"/>
      <c r="AG222" s="153"/>
      <c r="AH222" s="153"/>
      <c r="AI222" s="153"/>
      <c r="AJ222" s="153"/>
      <c r="AK222" s="153"/>
      <c r="AL222" s="153"/>
      <c r="AM222" s="153"/>
      <c r="AN222" s="153"/>
      <c r="AO222" s="153"/>
      <c r="AP222" s="153"/>
      <c r="AQ222" s="153"/>
      <c r="AR222" s="153"/>
      <c r="AS222" s="153"/>
      <c r="AT222" s="153"/>
      <c r="AU222" s="153"/>
      <c r="AV222" s="153"/>
      <c r="AW222" s="153"/>
      <c r="AX222" s="153"/>
      <c r="AY222" s="153"/>
      <c r="AZ222" s="153"/>
      <c r="BA222" s="153"/>
      <c r="BB222" s="153"/>
      <c r="BC222" s="153"/>
      <c r="BD222" s="153"/>
      <c r="BE222" s="153"/>
      <c r="BF222" s="153"/>
      <c r="BG222" s="153"/>
      <c r="BH222" s="153"/>
      <c r="BI222" s="153"/>
      <c r="BJ222" s="153"/>
      <c r="BK222" s="153"/>
      <c r="BL222" s="153"/>
      <c r="BM222" s="153"/>
      <c r="BN222" s="153"/>
      <c r="BO222" s="153"/>
      <c r="BP222" s="153"/>
      <c r="BQ222" s="153"/>
    </row>
    <row r="223" spans="1:69" x14ac:dyDescent="0.2">
      <c r="A223" s="153"/>
      <c r="B223" s="153"/>
      <c r="C223" s="153"/>
      <c r="D223" s="153"/>
      <c r="E223" s="153"/>
      <c r="F223" s="153"/>
      <c r="G223" s="153"/>
      <c r="H223" s="153"/>
      <c r="I223" s="153"/>
      <c r="J223" s="153"/>
      <c r="K223" s="153"/>
      <c r="L223" s="153"/>
      <c r="M223" s="153"/>
      <c r="N223" s="153"/>
      <c r="O223" s="153"/>
      <c r="P223" s="153"/>
      <c r="Q223" s="153"/>
      <c r="R223" s="153"/>
      <c r="S223" s="153"/>
      <c r="T223" s="153"/>
      <c r="U223" s="153"/>
      <c r="V223" s="153"/>
      <c r="W223" s="153"/>
      <c r="X223" s="153"/>
      <c r="Y223" s="153"/>
      <c r="Z223" s="153"/>
      <c r="AA223" s="153"/>
      <c r="AB223" s="153"/>
      <c r="AC223" s="153"/>
      <c r="AD223" s="153"/>
      <c r="AE223" s="153"/>
      <c r="AF223" s="153"/>
      <c r="AG223" s="153"/>
      <c r="AH223" s="153"/>
      <c r="AI223" s="153"/>
      <c r="AJ223" s="153"/>
      <c r="AK223" s="153"/>
      <c r="AL223" s="153"/>
      <c r="AM223" s="153"/>
      <c r="AN223" s="153"/>
      <c r="AO223" s="153"/>
      <c r="AP223" s="153"/>
      <c r="AQ223" s="153"/>
      <c r="AR223" s="153"/>
      <c r="AS223" s="153"/>
      <c r="AT223" s="153"/>
      <c r="AU223" s="153"/>
      <c r="AV223" s="153"/>
      <c r="AW223" s="153"/>
      <c r="AX223" s="153"/>
      <c r="AY223" s="153"/>
      <c r="AZ223" s="153"/>
      <c r="BA223" s="153"/>
      <c r="BB223" s="153"/>
      <c r="BC223" s="153"/>
      <c r="BD223" s="153"/>
      <c r="BE223" s="153"/>
      <c r="BF223" s="153"/>
      <c r="BG223" s="153"/>
      <c r="BH223" s="153"/>
      <c r="BI223" s="153"/>
      <c r="BJ223" s="153"/>
      <c r="BK223" s="153"/>
      <c r="BL223" s="153"/>
      <c r="BM223" s="153"/>
      <c r="BN223" s="153"/>
      <c r="BO223" s="153"/>
      <c r="BP223" s="153"/>
      <c r="BQ223" s="153"/>
    </row>
    <row r="224" spans="1:69" x14ac:dyDescent="0.2">
      <c r="A224" s="153"/>
      <c r="B224" s="153"/>
      <c r="C224" s="153"/>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c r="AA224" s="153"/>
      <c r="AB224" s="153"/>
      <c r="AC224" s="153"/>
      <c r="AD224" s="153"/>
      <c r="AE224" s="153"/>
      <c r="AF224" s="153"/>
      <c r="AG224" s="153"/>
      <c r="AH224" s="153"/>
      <c r="AI224" s="153"/>
      <c r="AJ224" s="153"/>
      <c r="AK224" s="153"/>
      <c r="AL224" s="153"/>
      <c r="AM224" s="153"/>
      <c r="AN224" s="153"/>
      <c r="AO224" s="153"/>
      <c r="AP224" s="153"/>
      <c r="AQ224" s="153"/>
      <c r="AR224" s="153"/>
      <c r="AS224" s="153"/>
      <c r="AT224" s="153"/>
      <c r="AU224" s="153"/>
      <c r="AV224" s="153"/>
      <c r="AW224" s="153"/>
      <c r="AX224" s="153"/>
      <c r="AY224" s="153"/>
      <c r="AZ224" s="153"/>
      <c r="BA224" s="153"/>
      <c r="BB224" s="153"/>
      <c r="BC224" s="153"/>
      <c r="BD224" s="153"/>
      <c r="BE224" s="153"/>
      <c r="BF224" s="153"/>
      <c r="BG224" s="153"/>
      <c r="BH224" s="153"/>
      <c r="BI224" s="153"/>
      <c r="BJ224" s="153"/>
      <c r="BK224" s="153"/>
      <c r="BL224" s="153"/>
      <c r="BM224" s="153"/>
      <c r="BN224" s="153"/>
      <c r="BO224" s="153"/>
      <c r="BP224" s="153"/>
      <c r="BQ224" s="153"/>
    </row>
    <row r="225" spans="1:69" x14ac:dyDescent="0.2">
      <c r="A225" s="153"/>
      <c r="B225" s="153"/>
      <c r="C225" s="153"/>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c r="AA225" s="153"/>
      <c r="AB225" s="153"/>
      <c r="AC225" s="153"/>
      <c r="AD225" s="153"/>
      <c r="AE225" s="153"/>
      <c r="AF225" s="153"/>
      <c r="AG225" s="153"/>
      <c r="AH225" s="153"/>
      <c r="AI225" s="153"/>
      <c r="AJ225" s="153"/>
      <c r="AK225" s="153"/>
      <c r="AL225" s="153"/>
      <c r="AM225" s="153"/>
      <c r="AN225" s="153"/>
      <c r="AO225" s="153"/>
      <c r="AP225" s="153"/>
      <c r="AQ225" s="153"/>
      <c r="AR225" s="153"/>
      <c r="AS225" s="153"/>
      <c r="AT225" s="153"/>
      <c r="AU225" s="153"/>
      <c r="AV225" s="153"/>
      <c r="AW225" s="153"/>
      <c r="AX225" s="153"/>
      <c r="AY225" s="153"/>
      <c r="AZ225" s="153"/>
      <c r="BA225" s="153"/>
      <c r="BB225" s="153"/>
      <c r="BC225" s="153"/>
      <c r="BD225" s="153"/>
      <c r="BE225" s="153"/>
      <c r="BF225" s="153"/>
      <c r="BG225" s="153"/>
      <c r="BH225" s="153"/>
      <c r="BI225" s="153"/>
      <c r="BJ225" s="153"/>
      <c r="BK225" s="153"/>
      <c r="BL225" s="153"/>
      <c r="BM225" s="153"/>
      <c r="BN225" s="153"/>
      <c r="BO225" s="153"/>
      <c r="BP225" s="153"/>
      <c r="BQ225" s="153"/>
    </row>
    <row r="226" spans="1:69" x14ac:dyDescent="0.2">
      <c r="A226" s="153"/>
      <c r="B226" s="153"/>
      <c r="C226" s="153"/>
      <c r="D226" s="153"/>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c r="AA226" s="153"/>
      <c r="AB226" s="153"/>
      <c r="AC226" s="153"/>
      <c r="AD226" s="153"/>
      <c r="AE226" s="153"/>
      <c r="AF226" s="153"/>
      <c r="AG226" s="153"/>
      <c r="AH226" s="153"/>
      <c r="AI226" s="153"/>
      <c r="AJ226" s="153"/>
      <c r="AK226" s="153"/>
      <c r="AL226" s="153"/>
      <c r="AM226" s="153"/>
      <c r="AN226" s="153"/>
      <c r="AO226" s="153"/>
      <c r="AP226" s="153"/>
      <c r="AQ226" s="153"/>
      <c r="AR226" s="153"/>
      <c r="AS226" s="153"/>
      <c r="AT226" s="153"/>
      <c r="AU226" s="153"/>
      <c r="AV226" s="153"/>
      <c r="AW226" s="153"/>
      <c r="AX226" s="153"/>
      <c r="AY226" s="153"/>
      <c r="AZ226" s="153"/>
      <c r="BA226" s="153"/>
      <c r="BB226" s="153"/>
      <c r="BC226" s="153"/>
      <c r="BD226" s="153"/>
      <c r="BE226" s="153"/>
      <c r="BF226" s="153"/>
      <c r="BG226" s="153"/>
      <c r="BH226" s="153"/>
      <c r="BI226" s="153"/>
      <c r="BJ226" s="153"/>
      <c r="BK226" s="153"/>
      <c r="BL226" s="153"/>
      <c r="BM226" s="153"/>
      <c r="BN226" s="153"/>
      <c r="BO226" s="153"/>
      <c r="BP226" s="153"/>
      <c r="BQ226" s="153"/>
    </row>
    <row r="227" spans="1:69" x14ac:dyDescent="0.2">
      <c r="A227" s="153"/>
      <c r="B227" s="153"/>
      <c r="C227" s="153"/>
      <c r="D227" s="153"/>
      <c r="E227" s="153"/>
      <c r="F227" s="153"/>
      <c r="G227" s="153"/>
      <c r="H227" s="153"/>
      <c r="I227" s="153"/>
      <c r="J227" s="153"/>
      <c r="K227" s="153"/>
      <c r="L227" s="153"/>
      <c r="M227" s="153"/>
      <c r="N227" s="153"/>
      <c r="O227" s="153"/>
      <c r="P227" s="153"/>
      <c r="Q227" s="153"/>
      <c r="R227" s="153"/>
      <c r="S227" s="153"/>
      <c r="T227" s="153"/>
      <c r="U227" s="153"/>
      <c r="V227" s="153"/>
      <c r="W227" s="153"/>
      <c r="X227" s="153"/>
      <c r="Y227" s="153"/>
      <c r="Z227" s="153"/>
      <c r="AA227" s="153"/>
      <c r="AB227" s="153"/>
      <c r="AC227" s="153"/>
      <c r="AD227" s="153"/>
      <c r="AE227" s="153"/>
      <c r="AF227" s="153"/>
      <c r="AG227" s="153"/>
      <c r="AH227" s="153"/>
      <c r="AI227" s="153"/>
      <c r="AJ227" s="153"/>
      <c r="AK227" s="153"/>
      <c r="AL227" s="153"/>
      <c r="AM227" s="153"/>
      <c r="AN227" s="153"/>
      <c r="AO227" s="153"/>
      <c r="AP227" s="153"/>
      <c r="AQ227" s="153"/>
      <c r="AR227" s="153"/>
      <c r="AS227" s="153"/>
      <c r="AT227" s="153"/>
      <c r="AU227" s="153"/>
      <c r="AV227" s="153"/>
      <c r="AW227" s="153"/>
      <c r="AX227" s="153"/>
      <c r="AY227" s="153"/>
      <c r="AZ227" s="153"/>
      <c r="BA227" s="153"/>
      <c r="BB227" s="153"/>
      <c r="BC227" s="153"/>
      <c r="BD227" s="153"/>
      <c r="BE227" s="153"/>
      <c r="BF227" s="153"/>
      <c r="BG227" s="153"/>
      <c r="BH227" s="153"/>
      <c r="BI227" s="153"/>
      <c r="BJ227" s="153"/>
      <c r="BK227" s="153"/>
      <c r="BL227" s="153"/>
      <c r="BM227" s="153"/>
      <c r="BN227" s="153"/>
      <c r="BO227" s="153"/>
      <c r="BP227" s="153"/>
      <c r="BQ227" s="153"/>
    </row>
    <row r="228" spans="1:69" x14ac:dyDescent="0.2">
      <c r="A228" s="153"/>
      <c r="B228" s="153"/>
      <c r="C228" s="153"/>
      <c r="D228" s="153"/>
      <c r="E228" s="153"/>
      <c r="F228" s="153"/>
      <c r="G228" s="153"/>
      <c r="H228" s="153"/>
      <c r="I228" s="153"/>
      <c r="J228" s="153"/>
      <c r="K228" s="153"/>
      <c r="L228" s="153"/>
      <c r="M228" s="153"/>
      <c r="N228" s="153"/>
      <c r="O228" s="153"/>
      <c r="P228" s="153"/>
      <c r="Q228" s="153"/>
      <c r="R228" s="153"/>
      <c r="S228" s="153"/>
      <c r="T228" s="153"/>
      <c r="U228" s="153"/>
      <c r="V228" s="153"/>
      <c r="W228" s="153"/>
      <c r="X228" s="153"/>
      <c r="Y228" s="153"/>
      <c r="Z228" s="153"/>
      <c r="AA228" s="153"/>
      <c r="AB228" s="153"/>
      <c r="AC228" s="153"/>
      <c r="AD228" s="153"/>
      <c r="AE228" s="153"/>
      <c r="AF228" s="153"/>
      <c r="AG228" s="153"/>
      <c r="AH228" s="153"/>
      <c r="AI228" s="153"/>
      <c r="AJ228" s="153"/>
      <c r="AK228" s="153"/>
      <c r="AL228" s="153"/>
      <c r="AM228" s="153"/>
      <c r="AN228" s="153"/>
      <c r="AO228" s="153"/>
      <c r="AP228" s="153"/>
      <c r="AQ228" s="153"/>
      <c r="AR228" s="153"/>
      <c r="AS228" s="153"/>
      <c r="AT228" s="153"/>
      <c r="AU228" s="153"/>
      <c r="AV228" s="153"/>
      <c r="AW228" s="153"/>
      <c r="AX228" s="153"/>
      <c r="AY228" s="153"/>
      <c r="AZ228" s="153"/>
      <c r="BA228" s="153"/>
      <c r="BB228" s="153"/>
      <c r="BC228" s="153"/>
      <c r="BD228" s="153"/>
      <c r="BE228" s="153"/>
      <c r="BF228" s="153"/>
      <c r="BG228" s="153"/>
      <c r="BH228" s="153"/>
      <c r="BI228" s="153"/>
      <c r="BJ228" s="153"/>
      <c r="BK228" s="153"/>
      <c r="BL228" s="153"/>
      <c r="BM228" s="153"/>
      <c r="BN228" s="153"/>
      <c r="BO228" s="153"/>
      <c r="BP228" s="153"/>
      <c r="BQ228" s="153"/>
    </row>
    <row r="229" spans="1:69" x14ac:dyDescent="0.2">
      <c r="A229" s="153"/>
      <c r="B229" s="153"/>
      <c r="C229" s="153"/>
      <c r="D229" s="153"/>
      <c r="E229" s="153"/>
      <c r="F229" s="153"/>
      <c r="G229" s="153"/>
      <c r="H229" s="153"/>
      <c r="I229" s="153"/>
      <c r="J229" s="153"/>
      <c r="K229" s="153"/>
      <c r="L229" s="153"/>
      <c r="M229" s="153"/>
      <c r="N229" s="153"/>
      <c r="O229" s="153"/>
      <c r="P229" s="153"/>
      <c r="Q229" s="153"/>
      <c r="R229" s="153"/>
      <c r="S229" s="153"/>
      <c r="T229" s="153"/>
      <c r="U229" s="153"/>
      <c r="V229" s="153"/>
      <c r="W229" s="153"/>
      <c r="X229" s="153"/>
      <c r="Y229" s="153"/>
      <c r="Z229" s="153"/>
      <c r="AA229" s="153"/>
      <c r="AB229" s="153"/>
      <c r="AC229" s="153"/>
      <c r="AD229" s="153"/>
      <c r="AE229" s="153"/>
      <c r="AF229" s="153"/>
      <c r="AG229" s="153"/>
      <c r="AH229" s="153"/>
      <c r="AI229" s="153"/>
      <c r="AJ229" s="153"/>
      <c r="AK229" s="153"/>
      <c r="AL229" s="153"/>
      <c r="AM229" s="153"/>
      <c r="AN229" s="153"/>
      <c r="AO229" s="153"/>
      <c r="AP229" s="153"/>
      <c r="AQ229" s="153"/>
      <c r="AR229" s="153"/>
      <c r="AS229" s="153"/>
      <c r="AT229" s="153"/>
      <c r="AU229" s="153"/>
      <c r="AV229" s="153"/>
      <c r="AW229" s="153"/>
      <c r="AX229" s="153"/>
      <c r="AY229" s="153"/>
      <c r="AZ229" s="153"/>
      <c r="BA229" s="153"/>
      <c r="BB229" s="153"/>
      <c r="BC229" s="153"/>
      <c r="BD229" s="153"/>
      <c r="BE229" s="153"/>
      <c r="BF229" s="153"/>
      <c r="BG229" s="153"/>
      <c r="BH229" s="153"/>
      <c r="BI229" s="153"/>
      <c r="BJ229" s="153"/>
      <c r="BK229" s="153"/>
      <c r="BL229" s="153"/>
      <c r="BM229" s="153"/>
      <c r="BN229" s="153"/>
      <c r="BO229" s="153"/>
      <c r="BP229" s="153"/>
      <c r="BQ229" s="153"/>
    </row>
    <row r="230" spans="1:69" x14ac:dyDescent="0.2">
      <c r="A230" s="153"/>
      <c r="B230" s="153"/>
      <c r="C230" s="153"/>
      <c r="D230" s="153"/>
      <c r="E230" s="153"/>
      <c r="F230" s="153"/>
      <c r="G230" s="153"/>
      <c r="H230" s="153"/>
      <c r="I230" s="153"/>
      <c r="J230" s="153"/>
      <c r="K230" s="153"/>
      <c r="L230" s="153"/>
      <c r="M230" s="153"/>
      <c r="N230" s="153"/>
      <c r="O230" s="153"/>
      <c r="P230" s="153"/>
      <c r="Q230" s="153"/>
      <c r="R230" s="153"/>
      <c r="S230" s="153"/>
      <c r="T230" s="153"/>
      <c r="U230" s="153"/>
      <c r="V230" s="153"/>
      <c r="W230" s="153"/>
      <c r="X230" s="153"/>
      <c r="Y230" s="153"/>
      <c r="Z230" s="153"/>
      <c r="AA230" s="153"/>
      <c r="AB230" s="153"/>
      <c r="AC230" s="153"/>
      <c r="AD230" s="153"/>
      <c r="AE230" s="153"/>
      <c r="AF230" s="153"/>
      <c r="AG230" s="153"/>
      <c r="AH230" s="153"/>
      <c r="AI230" s="153"/>
      <c r="AJ230" s="153"/>
      <c r="AK230" s="153"/>
      <c r="AL230" s="153"/>
      <c r="AM230" s="153"/>
      <c r="AN230" s="153"/>
      <c r="AO230" s="153"/>
      <c r="AP230" s="153"/>
      <c r="AQ230" s="153"/>
      <c r="AR230" s="153"/>
      <c r="AS230" s="153"/>
      <c r="AT230" s="153"/>
      <c r="AU230" s="153"/>
      <c r="AV230" s="153"/>
      <c r="AW230" s="153"/>
      <c r="AX230" s="153"/>
      <c r="AY230" s="153"/>
      <c r="AZ230" s="153"/>
      <c r="BA230" s="153"/>
      <c r="BB230" s="153"/>
      <c r="BC230" s="153"/>
      <c r="BD230" s="153"/>
      <c r="BE230" s="153"/>
      <c r="BF230" s="153"/>
      <c r="BG230" s="153"/>
      <c r="BH230" s="153"/>
      <c r="BI230" s="153"/>
      <c r="BJ230" s="153"/>
      <c r="BK230" s="153"/>
      <c r="BL230" s="153"/>
      <c r="BM230" s="153"/>
      <c r="BN230" s="153"/>
      <c r="BO230" s="153"/>
      <c r="BP230" s="153"/>
      <c r="BQ230" s="153"/>
    </row>
    <row r="231" spans="1:69" x14ac:dyDescent="0.2">
      <c r="A231" s="153"/>
      <c r="B231" s="153"/>
      <c r="C231" s="153"/>
      <c r="D231" s="153"/>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c r="AA231" s="153"/>
      <c r="AB231" s="153"/>
      <c r="AC231" s="153"/>
      <c r="AD231" s="153"/>
      <c r="AE231" s="153"/>
      <c r="AF231" s="153"/>
      <c r="AG231" s="153"/>
      <c r="AH231" s="153"/>
      <c r="AI231" s="153"/>
      <c r="AJ231" s="153"/>
      <c r="AK231" s="153"/>
      <c r="AL231" s="153"/>
      <c r="AM231" s="153"/>
      <c r="AN231" s="153"/>
      <c r="AO231" s="153"/>
      <c r="AP231" s="153"/>
      <c r="AQ231" s="153"/>
      <c r="AR231" s="153"/>
      <c r="AS231" s="153"/>
      <c r="AT231" s="153"/>
      <c r="AU231" s="153"/>
      <c r="AV231" s="153"/>
      <c r="AW231" s="153"/>
      <c r="AX231" s="153"/>
      <c r="AY231" s="153"/>
      <c r="AZ231" s="153"/>
      <c r="BA231" s="153"/>
      <c r="BB231" s="153"/>
      <c r="BC231" s="153"/>
      <c r="BD231" s="153"/>
      <c r="BE231" s="153"/>
      <c r="BF231" s="153"/>
      <c r="BG231" s="153"/>
      <c r="BH231" s="153"/>
      <c r="BI231" s="153"/>
      <c r="BJ231" s="153"/>
      <c r="BK231" s="153"/>
      <c r="BL231" s="153"/>
      <c r="BM231" s="153"/>
      <c r="BN231" s="153"/>
      <c r="BO231" s="153"/>
      <c r="BP231" s="153"/>
      <c r="BQ231" s="153"/>
    </row>
    <row r="232" spans="1:69" x14ac:dyDescent="0.2">
      <c r="A232" s="153"/>
      <c r="B232" s="153"/>
      <c r="C232" s="153"/>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c r="AA232" s="153"/>
      <c r="AB232" s="153"/>
      <c r="AC232" s="153"/>
      <c r="AD232" s="153"/>
      <c r="AE232" s="153"/>
      <c r="AF232" s="153"/>
      <c r="AG232" s="153"/>
      <c r="AH232" s="153"/>
      <c r="AI232" s="153"/>
      <c r="AJ232" s="153"/>
      <c r="AK232" s="153"/>
      <c r="AL232" s="153"/>
      <c r="AM232" s="153"/>
      <c r="AN232" s="153"/>
      <c r="AO232" s="153"/>
      <c r="AP232" s="153"/>
      <c r="AQ232" s="153"/>
      <c r="AR232" s="153"/>
      <c r="AS232" s="153"/>
      <c r="AT232" s="153"/>
      <c r="AU232" s="153"/>
      <c r="AV232" s="153"/>
      <c r="AW232" s="153"/>
      <c r="AX232" s="153"/>
      <c r="AY232" s="153"/>
      <c r="AZ232" s="153"/>
      <c r="BA232" s="153"/>
      <c r="BB232" s="153"/>
      <c r="BC232" s="153"/>
      <c r="BD232" s="153"/>
      <c r="BE232" s="153"/>
      <c r="BF232" s="153"/>
      <c r="BG232" s="153"/>
      <c r="BH232" s="153"/>
      <c r="BI232" s="153"/>
      <c r="BJ232" s="153"/>
      <c r="BK232" s="153"/>
      <c r="BL232" s="153"/>
      <c r="BM232" s="153"/>
      <c r="BN232" s="153"/>
      <c r="BO232" s="153"/>
      <c r="BP232" s="153"/>
      <c r="BQ232" s="153"/>
    </row>
    <row r="233" spans="1:69" x14ac:dyDescent="0.2">
      <c r="A233" s="153"/>
      <c r="B233" s="153"/>
      <c r="C233" s="153"/>
      <c r="D233" s="153"/>
      <c r="E233" s="153"/>
      <c r="F233" s="153"/>
      <c r="G233" s="153"/>
      <c r="H233" s="153"/>
      <c r="I233" s="153"/>
      <c r="J233" s="153"/>
      <c r="K233" s="153"/>
      <c r="L233" s="153"/>
      <c r="M233" s="153"/>
      <c r="N233" s="153"/>
      <c r="O233" s="153"/>
      <c r="P233" s="153"/>
      <c r="Q233" s="153"/>
      <c r="R233" s="153"/>
      <c r="S233" s="153"/>
      <c r="T233" s="153"/>
      <c r="U233" s="153"/>
      <c r="V233" s="153"/>
      <c r="W233" s="153"/>
      <c r="X233" s="153"/>
      <c r="Y233" s="153"/>
      <c r="Z233" s="153"/>
      <c r="AA233" s="153"/>
      <c r="AB233" s="153"/>
      <c r="AC233" s="153"/>
      <c r="AD233" s="153"/>
      <c r="AE233" s="153"/>
      <c r="AF233" s="153"/>
      <c r="AG233" s="153"/>
      <c r="AH233" s="153"/>
      <c r="AI233" s="153"/>
      <c r="AJ233" s="153"/>
      <c r="AK233" s="153"/>
      <c r="AL233" s="153"/>
      <c r="AM233" s="153"/>
      <c r="AN233" s="153"/>
      <c r="AO233" s="153"/>
      <c r="AP233" s="153"/>
      <c r="AQ233" s="153"/>
      <c r="AR233" s="153"/>
      <c r="AS233" s="153"/>
      <c r="AT233" s="153"/>
      <c r="AU233" s="153"/>
      <c r="AV233" s="153"/>
      <c r="AW233" s="153"/>
      <c r="AX233" s="153"/>
      <c r="AY233" s="153"/>
      <c r="AZ233" s="153"/>
      <c r="BA233" s="153"/>
      <c r="BB233" s="153"/>
      <c r="BC233" s="153"/>
      <c r="BD233" s="153"/>
      <c r="BE233" s="153"/>
      <c r="BF233" s="153"/>
      <c r="BG233" s="153"/>
      <c r="BH233" s="153"/>
      <c r="BI233" s="153"/>
      <c r="BJ233" s="153"/>
      <c r="BK233" s="153"/>
      <c r="BL233" s="153"/>
      <c r="BM233" s="153"/>
      <c r="BN233" s="153"/>
      <c r="BO233" s="153"/>
      <c r="BP233" s="153"/>
      <c r="BQ233" s="153"/>
    </row>
    <row r="234" spans="1:69" x14ac:dyDescent="0.2">
      <c r="A234" s="153"/>
      <c r="B234" s="153"/>
      <c r="C234" s="153"/>
      <c r="D234" s="153"/>
      <c r="E234" s="153"/>
      <c r="F234" s="153"/>
      <c r="G234" s="153"/>
      <c r="H234" s="153"/>
      <c r="I234" s="153"/>
      <c r="J234" s="153"/>
      <c r="K234" s="153"/>
      <c r="L234" s="153"/>
      <c r="M234" s="153"/>
      <c r="N234" s="153"/>
      <c r="O234" s="153"/>
      <c r="P234" s="153"/>
      <c r="Q234" s="153"/>
      <c r="R234" s="153"/>
      <c r="S234" s="153"/>
      <c r="T234" s="153"/>
      <c r="U234" s="153"/>
      <c r="V234" s="153"/>
      <c r="W234" s="153"/>
      <c r="X234" s="153"/>
      <c r="Y234" s="153"/>
      <c r="Z234" s="153"/>
      <c r="AA234" s="153"/>
      <c r="AB234" s="153"/>
      <c r="AC234" s="153"/>
      <c r="AD234" s="153"/>
      <c r="AE234" s="153"/>
      <c r="AF234" s="153"/>
      <c r="AG234" s="153"/>
      <c r="AH234" s="153"/>
      <c r="AI234" s="153"/>
      <c r="AJ234" s="153"/>
      <c r="AK234" s="153"/>
      <c r="AL234" s="153"/>
      <c r="AM234" s="153"/>
      <c r="AN234" s="153"/>
      <c r="AO234" s="153"/>
      <c r="AP234" s="153"/>
      <c r="AQ234" s="153"/>
      <c r="AR234" s="153"/>
      <c r="AS234" s="153"/>
      <c r="AT234" s="153"/>
      <c r="AU234" s="153"/>
      <c r="AV234" s="153"/>
      <c r="AW234" s="153"/>
      <c r="AX234" s="153"/>
      <c r="AY234" s="153"/>
      <c r="AZ234" s="153"/>
      <c r="BA234" s="153"/>
      <c r="BB234" s="153"/>
      <c r="BC234" s="153"/>
      <c r="BD234" s="153"/>
      <c r="BE234" s="153"/>
      <c r="BF234" s="153"/>
      <c r="BG234" s="153"/>
      <c r="BH234" s="153"/>
      <c r="BI234" s="153"/>
      <c r="BJ234" s="153"/>
      <c r="BK234" s="153"/>
      <c r="BL234" s="153"/>
      <c r="BM234" s="153"/>
      <c r="BN234" s="153"/>
      <c r="BO234" s="153"/>
      <c r="BP234" s="153"/>
      <c r="BQ234" s="153"/>
    </row>
    <row r="235" spans="1:69" x14ac:dyDescent="0.2">
      <c r="A235" s="153"/>
      <c r="B235" s="153"/>
      <c r="C235" s="153"/>
      <c r="D235" s="153"/>
      <c r="E235" s="153"/>
      <c r="F235" s="153"/>
      <c r="G235" s="153"/>
      <c r="H235" s="153"/>
      <c r="I235" s="153"/>
      <c r="J235" s="153"/>
      <c r="K235" s="153"/>
      <c r="L235" s="153"/>
      <c r="M235" s="153"/>
      <c r="N235" s="153"/>
      <c r="O235" s="153"/>
      <c r="P235" s="153"/>
      <c r="Q235" s="153"/>
      <c r="R235" s="153"/>
      <c r="S235" s="153"/>
      <c r="T235" s="153"/>
      <c r="U235" s="153"/>
      <c r="V235" s="153"/>
      <c r="W235" s="153"/>
      <c r="X235" s="153"/>
      <c r="Y235" s="153"/>
      <c r="Z235" s="153"/>
      <c r="AA235" s="153"/>
      <c r="AB235" s="153"/>
      <c r="AC235" s="153"/>
      <c r="AD235" s="153"/>
      <c r="AE235" s="153"/>
      <c r="AF235" s="153"/>
      <c r="AG235" s="153"/>
      <c r="AH235" s="153"/>
      <c r="AI235" s="153"/>
      <c r="AJ235" s="153"/>
      <c r="AK235" s="153"/>
      <c r="AL235" s="153"/>
      <c r="AM235" s="153"/>
      <c r="AN235" s="153"/>
      <c r="AO235" s="153"/>
      <c r="AP235" s="153"/>
      <c r="AQ235" s="153"/>
      <c r="AR235" s="153"/>
      <c r="AS235" s="153"/>
      <c r="AT235" s="153"/>
      <c r="AU235" s="153"/>
      <c r="AV235" s="153"/>
      <c r="AW235" s="153"/>
      <c r="AX235" s="153"/>
      <c r="AY235" s="153"/>
      <c r="AZ235" s="153"/>
      <c r="BA235" s="153"/>
      <c r="BB235" s="153"/>
      <c r="BC235" s="153"/>
      <c r="BD235" s="153"/>
      <c r="BE235" s="153"/>
      <c r="BF235" s="153"/>
      <c r="BG235" s="153"/>
      <c r="BH235" s="153"/>
      <c r="BI235" s="153"/>
      <c r="BJ235" s="153"/>
      <c r="BK235" s="153"/>
      <c r="BL235" s="153"/>
      <c r="BM235" s="153"/>
      <c r="BN235" s="153"/>
      <c r="BO235" s="153"/>
      <c r="BP235" s="153"/>
      <c r="BQ235" s="153"/>
    </row>
    <row r="236" spans="1:69" x14ac:dyDescent="0.2">
      <c r="A236" s="153"/>
      <c r="B236" s="153"/>
      <c r="C236" s="153"/>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c r="AA236" s="153"/>
      <c r="AB236" s="153"/>
      <c r="AC236" s="153"/>
      <c r="AD236" s="153"/>
      <c r="AE236" s="153"/>
      <c r="AF236" s="153"/>
      <c r="AG236" s="153"/>
      <c r="AH236" s="153"/>
      <c r="AI236" s="153"/>
      <c r="AJ236" s="153"/>
      <c r="AK236" s="153"/>
      <c r="AL236" s="153"/>
      <c r="AM236" s="153"/>
      <c r="AN236" s="153"/>
      <c r="AO236" s="153"/>
      <c r="AP236" s="153"/>
      <c r="AQ236" s="153"/>
      <c r="AR236" s="153"/>
      <c r="AS236" s="153"/>
      <c r="AT236" s="153"/>
      <c r="AU236" s="153"/>
      <c r="AV236" s="153"/>
      <c r="AW236" s="153"/>
      <c r="AX236" s="153"/>
      <c r="AY236" s="153"/>
      <c r="AZ236" s="153"/>
      <c r="BA236" s="153"/>
      <c r="BB236" s="153"/>
      <c r="BC236" s="153"/>
      <c r="BD236" s="153"/>
      <c r="BE236" s="153"/>
      <c r="BF236" s="153"/>
      <c r="BG236" s="153"/>
      <c r="BH236" s="153"/>
      <c r="BI236" s="153"/>
      <c r="BJ236" s="153"/>
      <c r="BK236" s="153"/>
      <c r="BL236" s="153"/>
      <c r="BM236" s="153"/>
      <c r="BN236" s="153"/>
      <c r="BO236" s="153"/>
      <c r="BP236" s="153"/>
      <c r="BQ236" s="153"/>
    </row>
    <row r="237" spans="1:69" x14ac:dyDescent="0.2">
      <c r="A237" s="153"/>
      <c r="B237" s="153"/>
      <c r="C237" s="153"/>
      <c r="D237" s="153"/>
      <c r="E237" s="153"/>
      <c r="F237" s="153"/>
      <c r="G237" s="153"/>
      <c r="H237" s="153"/>
      <c r="I237" s="153"/>
      <c r="J237" s="153"/>
      <c r="K237" s="153"/>
      <c r="L237" s="153"/>
      <c r="M237" s="153"/>
      <c r="N237" s="153"/>
      <c r="O237" s="153"/>
      <c r="P237" s="153"/>
      <c r="Q237" s="153"/>
      <c r="R237" s="153"/>
      <c r="S237" s="153"/>
      <c r="T237" s="153"/>
      <c r="U237" s="153"/>
      <c r="V237" s="153"/>
      <c r="W237" s="153"/>
      <c r="X237" s="153"/>
      <c r="Y237" s="153"/>
      <c r="Z237" s="153"/>
      <c r="AA237" s="153"/>
      <c r="AB237" s="153"/>
      <c r="AC237" s="153"/>
      <c r="AD237" s="153"/>
      <c r="AE237" s="153"/>
      <c r="AF237" s="153"/>
      <c r="AG237" s="153"/>
      <c r="AH237" s="153"/>
      <c r="AI237" s="153"/>
      <c r="AJ237" s="153"/>
      <c r="AK237" s="153"/>
      <c r="AL237" s="153"/>
      <c r="AM237" s="153"/>
      <c r="AN237" s="153"/>
      <c r="AO237" s="153"/>
      <c r="AP237" s="153"/>
      <c r="AQ237" s="153"/>
      <c r="AR237" s="153"/>
      <c r="AS237" s="153"/>
      <c r="AT237" s="153"/>
      <c r="AU237" s="153"/>
      <c r="AV237" s="153"/>
      <c r="AW237" s="153"/>
      <c r="AX237" s="153"/>
      <c r="AY237" s="153"/>
      <c r="AZ237" s="153"/>
      <c r="BA237" s="153"/>
      <c r="BB237" s="153"/>
      <c r="BC237" s="153"/>
      <c r="BD237" s="153"/>
      <c r="BE237" s="153"/>
      <c r="BF237" s="153"/>
      <c r="BG237" s="153"/>
      <c r="BH237" s="153"/>
      <c r="BI237" s="153"/>
      <c r="BJ237" s="153"/>
      <c r="BK237" s="153"/>
      <c r="BL237" s="153"/>
      <c r="BM237" s="153"/>
      <c r="BN237" s="153"/>
      <c r="BO237" s="153"/>
      <c r="BP237" s="153"/>
      <c r="BQ237" s="153"/>
    </row>
    <row r="238" spans="1:69" x14ac:dyDescent="0.2">
      <c r="A238" s="153"/>
      <c r="B238" s="153"/>
      <c r="C238" s="153"/>
      <c r="D238" s="153"/>
      <c r="E238" s="153"/>
      <c r="F238" s="153"/>
      <c r="G238" s="153"/>
      <c r="H238" s="153"/>
      <c r="I238" s="153"/>
      <c r="J238" s="153"/>
      <c r="K238" s="153"/>
      <c r="L238" s="153"/>
      <c r="M238" s="153"/>
      <c r="N238" s="153"/>
      <c r="O238" s="153"/>
      <c r="P238" s="153"/>
      <c r="Q238" s="153"/>
      <c r="R238" s="153"/>
      <c r="S238" s="153"/>
      <c r="T238" s="153"/>
      <c r="U238" s="153"/>
      <c r="V238" s="153"/>
      <c r="W238" s="153"/>
      <c r="X238" s="153"/>
      <c r="Y238" s="153"/>
      <c r="Z238" s="153"/>
      <c r="AA238" s="153"/>
      <c r="AB238" s="153"/>
      <c r="AC238" s="153"/>
      <c r="AD238" s="153"/>
      <c r="AE238" s="153"/>
      <c r="AF238" s="153"/>
      <c r="AG238" s="153"/>
      <c r="AH238" s="153"/>
      <c r="AI238" s="153"/>
      <c r="AJ238" s="153"/>
      <c r="AK238" s="153"/>
      <c r="AL238" s="153"/>
      <c r="AM238" s="153"/>
      <c r="AN238" s="153"/>
      <c r="AO238" s="153"/>
      <c r="AP238" s="153"/>
      <c r="AQ238" s="153"/>
      <c r="AR238" s="153"/>
      <c r="AS238" s="153"/>
      <c r="AT238" s="153"/>
      <c r="AU238" s="153"/>
      <c r="AV238" s="153"/>
      <c r="AW238" s="153"/>
      <c r="AX238" s="153"/>
      <c r="AY238" s="153"/>
      <c r="AZ238" s="153"/>
      <c r="BA238" s="153"/>
      <c r="BB238" s="153"/>
      <c r="BC238" s="153"/>
      <c r="BD238" s="153"/>
      <c r="BE238" s="153"/>
      <c r="BF238" s="153"/>
      <c r="BG238" s="153"/>
      <c r="BH238" s="153"/>
      <c r="BI238" s="153"/>
      <c r="BJ238" s="153"/>
      <c r="BK238" s="153"/>
      <c r="BL238" s="153"/>
      <c r="BM238" s="153"/>
      <c r="BN238" s="153"/>
      <c r="BO238" s="153"/>
      <c r="BP238" s="153"/>
      <c r="BQ238" s="153"/>
    </row>
    <row r="239" spans="1:69" x14ac:dyDescent="0.2">
      <c r="A239" s="153"/>
      <c r="B239" s="153"/>
      <c r="C239" s="153"/>
      <c r="D239" s="153"/>
      <c r="E239" s="153"/>
      <c r="F239" s="153"/>
      <c r="G239" s="153"/>
      <c r="H239" s="153"/>
      <c r="I239" s="153"/>
      <c r="J239" s="153"/>
      <c r="K239" s="153"/>
      <c r="L239" s="153"/>
      <c r="M239" s="153"/>
      <c r="N239" s="153"/>
      <c r="O239" s="153"/>
      <c r="P239" s="153"/>
      <c r="Q239" s="153"/>
      <c r="R239" s="153"/>
      <c r="S239" s="153"/>
      <c r="T239" s="153"/>
      <c r="U239" s="153"/>
      <c r="V239" s="153"/>
      <c r="W239" s="153"/>
      <c r="X239" s="153"/>
      <c r="Y239" s="153"/>
      <c r="Z239" s="153"/>
      <c r="AA239" s="153"/>
      <c r="AB239" s="153"/>
      <c r="AC239" s="153"/>
      <c r="AD239" s="153"/>
      <c r="AE239" s="153"/>
      <c r="AF239" s="153"/>
      <c r="AG239" s="153"/>
      <c r="AH239" s="153"/>
      <c r="AI239" s="153"/>
      <c r="AJ239" s="153"/>
      <c r="AK239" s="153"/>
      <c r="AL239" s="153"/>
      <c r="AM239" s="153"/>
      <c r="AN239" s="153"/>
      <c r="AO239" s="153"/>
      <c r="AP239" s="153"/>
      <c r="AQ239" s="153"/>
      <c r="AR239" s="153"/>
      <c r="AS239" s="153"/>
      <c r="AT239" s="153"/>
      <c r="AU239" s="153"/>
      <c r="AV239" s="153"/>
      <c r="AW239" s="153"/>
      <c r="AX239" s="153"/>
      <c r="AY239" s="153"/>
      <c r="AZ239" s="153"/>
      <c r="BA239" s="153"/>
      <c r="BB239" s="153"/>
      <c r="BC239" s="153"/>
      <c r="BD239" s="153"/>
      <c r="BE239" s="153"/>
      <c r="BF239" s="153"/>
      <c r="BG239" s="153"/>
      <c r="BH239" s="153"/>
      <c r="BI239" s="153"/>
      <c r="BJ239" s="153"/>
      <c r="BK239" s="153"/>
      <c r="BL239" s="153"/>
      <c r="BM239" s="153"/>
      <c r="BN239" s="153"/>
      <c r="BO239" s="153"/>
      <c r="BP239" s="153"/>
      <c r="BQ239" s="153"/>
    </row>
    <row r="240" spans="1:69" x14ac:dyDescent="0.2">
      <c r="A240" s="153"/>
      <c r="B240" s="153"/>
      <c r="C240" s="153"/>
      <c r="D240" s="153"/>
      <c r="E240" s="153"/>
      <c r="F240" s="153"/>
      <c r="G240" s="153"/>
      <c r="H240" s="153"/>
      <c r="I240" s="153"/>
      <c r="J240" s="153"/>
      <c r="K240" s="153"/>
      <c r="L240" s="153"/>
      <c r="M240" s="153"/>
      <c r="N240" s="153"/>
      <c r="O240" s="153"/>
      <c r="P240" s="153"/>
      <c r="Q240" s="153"/>
      <c r="R240" s="153"/>
      <c r="S240" s="153"/>
      <c r="T240" s="153"/>
      <c r="U240" s="153"/>
      <c r="V240" s="153"/>
      <c r="W240" s="153"/>
      <c r="X240" s="153"/>
      <c r="Y240" s="153"/>
      <c r="Z240" s="153"/>
      <c r="AA240" s="153"/>
      <c r="AB240" s="153"/>
      <c r="AC240" s="153"/>
      <c r="AD240" s="153"/>
      <c r="AE240" s="153"/>
      <c r="AF240" s="153"/>
      <c r="AG240" s="153"/>
      <c r="AH240" s="153"/>
      <c r="AI240" s="153"/>
      <c r="AJ240" s="153"/>
      <c r="AK240" s="153"/>
      <c r="AL240" s="153"/>
      <c r="AM240" s="153"/>
      <c r="AN240" s="153"/>
      <c r="AO240" s="153"/>
      <c r="AP240" s="153"/>
      <c r="AQ240" s="153"/>
      <c r="AR240" s="153"/>
      <c r="AS240" s="153"/>
      <c r="AT240" s="153"/>
      <c r="AU240" s="153"/>
      <c r="AV240" s="153"/>
      <c r="AW240" s="153"/>
      <c r="AX240" s="153"/>
      <c r="AY240" s="153"/>
      <c r="AZ240" s="153"/>
      <c r="BA240" s="153"/>
      <c r="BB240" s="153"/>
      <c r="BC240" s="153"/>
      <c r="BD240" s="153"/>
      <c r="BE240" s="153"/>
      <c r="BF240" s="153"/>
      <c r="BG240" s="153"/>
      <c r="BH240" s="153"/>
      <c r="BI240" s="153"/>
      <c r="BJ240" s="153"/>
      <c r="BK240" s="153"/>
      <c r="BL240" s="153"/>
      <c r="BM240" s="153"/>
      <c r="BN240" s="153"/>
      <c r="BO240" s="153"/>
      <c r="BP240" s="153"/>
      <c r="BQ240" s="153"/>
    </row>
    <row r="241" spans="1:69" x14ac:dyDescent="0.2">
      <c r="A241" s="153"/>
      <c r="B241" s="153"/>
      <c r="C241" s="153"/>
      <c r="D241" s="153"/>
      <c r="E241" s="153"/>
      <c r="F241" s="153"/>
      <c r="G241" s="153"/>
      <c r="H241" s="153"/>
      <c r="I241" s="153"/>
      <c r="J241" s="153"/>
      <c r="K241" s="153"/>
      <c r="L241" s="153"/>
      <c r="M241" s="153"/>
      <c r="N241" s="153"/>
      <c r="O241" s="153"/>
      <c r="P241" s="153"/>
      <c r="Q241" s="153"/>
      <c r="R241" s="153"/>
      <c r="S241" s="153"/>
      <c r="T241" s="153"/>
      <c r="U241" s="153"/>
      <c r="V241" s="153"/>
      <c r="W241" s="153"/>
      <c r="X241" s="153"/>
      <c r="Y241" s="153"/>
      <c r="Z241" s="153"/>
      <c r="AA241" s="153"/>
      <c r="AB241" s="153"/>
      <c r="AC241" s="153"/>
      <c r="AD241" s="153"/>
      <c r="AE241" s="153"/>
      <c r="AF241" s="153"/>
      <c r="AG241" s="153"/>
      <c r="AH241" s="153"/>
      <c r="AI241" s="153"/>
      <c r="AJ241" s="153"/>
      <c r="AK241" s="153"/>
      <c r="AL241" s="153"/>
      <c r="AM241" s="153"/>
      <c r="AN241" s="153"/>
      <c r="AO241" s="153"/>
      <c r="AP241" s="153"/>
      <c r="AQ241" s="153"/>
      <c r="AR241" s="153"/>
      <c r="AS241" s="153"/>
      <c r="AT241" s="153"/>
      <c r="AU241" s="153"/>
      <c r="AV241" s="153"/>
      <c r="AW241" s="153"/>
      <c r="AX241" s="153"/>
      <c r="AY241" s="153"/>
      <c r="AZ241" s="153"/>
      <c r="BA241" s="153"/>
      <c r="BB241" s="153"/>
      <c r="BC241" s="153"/>
      <c r="BD241" s="153"/>
      <c r="BE241" s="153"/>
      <c r="BF241" s="153"/>
      <c r="BG241" s="153"/>
      <c r="BH241" s="153"/>
      <c r="BI241" s="153"/>
      <c r="BJ241" s="153"/>
      <c r="BK241" s="153"/>
      <c r="BL241" s="153"/>
      <c r="BM241" s="153"/>
      <c r="BN241" s="153"/>
      <c r="BO241" s="153"/>
      <c r="BP241" s="153"/>
      <c r="BQ241" s="153"/>
    </row>
    <row r="242" spans="1:69" x14ac:dyDescent="0.2">
      <c r="A242" s="153"/>
      <c r="B242" s="153"/>
      <c r="C242" s="153"/>
      <c r="D242" s="153"/>
      <c r="E242" s="153"/>
      <c r="F242" s="153"/>
      <c r="G242" s="153"/>
      <c r="H242" s="153"/>
      <c r="I242" s="153"/>
      <c r="J242" s="153"/>
      <c r="K242" s="153"/>
      <c r="L242" s="153"/>
      <c r="M242" s="153"/>
      <c r="N242" s="153"/>
      <c r="O242" s="153"/>
      <c r="P242" s="153"/>
      <c r="Q242" s="153"/>
      <c r="R242" s="153"/>
      <c r="S242" s="153"/>
      <c r="T242" s="153"/>
      <c r="U242" s="153"/>
      <c r="V242" s="153"/>
      <c r="W242" s="153"/>
      <c r="X242" s="153"/>
      <c r="Y242" s="153"/>
      <c r="Z242" s="153"/>
      <c r="AA242" s="153"/>
      <c r="AB242" s="153"/>
      <c r="AC242" s="153"/>
      <c r="AD242" s="153"/>
      <c r="AE242" s="153"/>
      <c r="AF242" s="153"/>
      <c r="AG242" s="153"/>
      <c r="AH242" s="153"/>
      <c r="AI242" s="153"/>
      <c r="AJ242" s="153"/>
      <c r="AK242" s="153"/>
      <c r="AL242" s="153"/>
      <c r="AM242" s="153"/>
      <c r="AN242" s="153"/>
      <c r="AO242" s="153"/>
      <c r="AP242" s="153"/>
      <c r="AQ242" s="153"/>
      <c r="AR242" s="153"/>
      <c r="AS242" s="153"/>
      <c r="AT242" s="153"/>
      <c r="AU242" s="153"/>
      <c r="AV242" s="153"/>
      <c r="AW242" s="153"/>
      <c r="AX242" s="153"/>
      <c r="AY242" s="153"/>
      <c r="AZ242" s="153"/>
      <c r="BA242" s="153"/>
      <c r="BB242" s="153"/>
      <c r="BC242" s="153"/>
      <c r="BD242" s="153"/>
      <c r="BE242" s="153"/>
      <c r="BF242" s="153"/>
      <c r="BG242" s="153"/>
      <c r="BH242" s="153"/>
      <c r="BI242" s="153"/>
      <c r="BJ242" s="153"/>
      <c r="BK242" s="153"/>
      <c r="BL242" s="153"/>
      <c r="BM242" s="153"/>
      <c r="BN242" s="153"/>
      <c r="BO242" s="153"/>
      <c r="BP242" s="153"/>
      <c r="BQ242" s="153"/>
    </row>
    <row r="243" spans="1:69" x14ac:dyDescent="0.2">
      <c r="A243" s="153"/>
      <c r="B243" s="153"/>
      <c r="C243" s="153"/>
      <c r="D243" s="153"/>
      <c r="E243" s="153"/>
      <c r="F243" s="153"/>
      <c r="G243" s="153"/>
      <c r="H243" s="153"/>
      <c r="I243" s="153"/>
      <c r="J243" s="153"/>
      <c r="K243" s="153"/>
      <c r="L243" s="153"/>
      <c r="M243" s="153"/>
      <c r="N243" s="153"/>
      <c r="O243" s="153"/>
      <c r="P243" s="153"/>
      <c r="Q243" s="153"/>
      <c r="R243" s="153"/>
      <c r="S243" s="153"/>
      <c r="T243" s="153"/>
      <c r="U243" s="153"/>
      <c r="V243" s="153"/>
      <c r="W243" s="153"/>
      <c r="X243" s="153"/>
      <c r="Y243" s="153"/>
      <c r="Z243" s="153"/>
      <c r="AA243" s="153"/>
      <c r="AB243" s="153"/>
      <c r="AC243" s="153"/>
      <c r="AD243" s="153"/>
      <c r="AE243" s="153"/>
      <c r="AF243" s="153"/>
      <c r="AG243" s="153"/>
      <c r="AH243" s="153"/>
      <c r="AI243" s="153"/>
      <c r="AJ243" s="153"/>
      <c r="AK243" s="153"/>
      <c r="AL243" s="153"/>
      <c r="AM243" s="153"/>
      <c r="AN243" s="153"/>
      <c r="AO243" s="153"/>
      <c r="AP243" s="153"/>
      <c r="AQ243" s="153"/>
      <c r="AR243" s="153"/>
      <c r="AS243" s="153"/>
      <c r="AT243" s="153"/>
      <c r="AU243" s="153"/>
      <c r="AV243" s="153"/>
      <c r="AW243" s="153"/>
      <c r="AX243" s="153"/>
      <c r="AY243" s="153"/>
      <c r="AZ243" s="153"/>
      <c r="BA243" s="153"/>
      <c r="BB243" s="153"/>
      <c r="BC243" s="153"/>
      <c r="BD243" s="153"/>
      <c r="BE243" s="153"/>
      <c r="BF243" s="153"/>
      <c r="BG243" s="153"/>
      <c r="BH243" s="153"/>
      <c r="BI243" s="153"/>
      <c r="BJ243" s="153"/>
      <c r="BK243" s="153"/>
      <c r="BL243" s="153"/>
      <c r="BM243" s="153"/>
      <c r="BN243" s="153"/>
      <c r="BO243" s="153"/>
      <c r="BP243" s="153"/>
      <c r="BQ243" s="153"/>
    </row>
    <row r="244" spans="1:69" x14ac:dyDescent="0.2">
      <c r="A244" s="153"/>
      <c r="B244" s="153"/>
      <c r="C244" s="153"/>
      <c r="D244" s="153"/>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c r="AA244" s="153"/>
      <c r="AB244" s="153"/>
      <c r="AC244" s="153"/>
      <c r="AD244" s="153"/>
      <c r="AE244" s="153"/>
      <c r="AF244" s="153"/>
      <c r="AG244" s="153"/>
      <c r="AH244" s="153"/>
      <c r="AI244" s="153"/>
      <c r="AJ244" s="153"/>
      <c r="AK244" s="153"/>
      <c r="AL244" s="153"/>
      <c r="AM244" s="153"/>
      <c r="AN244" s="153"/>
      <c r="AO244" s="153"/>
      <c r="AP244" s="153"/>
      <c r="AQ244" s="153"/>
      <c r="AR244" s="153"/>
      <c r="AS244" s="153"/>
      <c r="AT244" s="153"/>
      <c r="AU244" s="153"/>
      <c r="AV244" s="153"/>
      <c r="AW244" s="153"/>
      <c r="AX244" s="153"/>
      <c r="AY244" s="153"/>
      <c r="AZ244" s="153"/>
      <c r="BA244" s="153"/>
      <c r="BB244" s="153"/>
      <c r="BC244" s="153"/>
      <c r="BD244" s="153"/>
      <c r="BE244" s="153"/>
      <c r="BF244" s="153"/>
      <c r="BG244" s="153"/>
      <c r="BH244" s="153"/>
      <c r="BI244" s="153"/>
      <c r="BJ244" s="153"/>
      <c r="BK244" s="153"/>
      <c r="BL244" s="153"/>
      <c r="BM244" s="153"/>
      <c r="BN244" s="153"/>
      <c r="BO244" s="153"/>
      <c r="BP244" s="153"/>
      <c r="BQ244" s="153"/>
    </row>
    <row r="245" spans="1:69" x14ac:dyDescent="0.2">
      <c r="A245" s="153"/>
      <c r="B245" s="153"/>
      <c r="C245" s="153"/>
      <c r="D245" s="153"/>
      <c r="E245" s="153"/>
      <c r="F245" s="153"/>
      <c r="G245" s="153"/>
      <c r="H245" s="153"/>
      <c r="I245" s="153"/>
      <c r="J245" s="153"/>
      <c r="K245" s="153"/>
      <c r="L245" s="153"/>
      <c r="M245" s="153"/>
      <c r="N245" s="153"/>
      <c r="O245" s="153"/>
      <c r="P245" s="153"/>
      <c r="Q245" s="153"/>
      <c r="R245" s="153"/>
      <c r="S245" s="153"/>
      <c r="T245" s="153"/>
      <c r="U245" s="153"/>
      <c r="V245" s="153"/>
      <c r="W245" s="153"/>
      <c r="X245" s="153"/>
      <c r="Y245" s="153"/>
      <c r="Z245" s="153"/>
      <c r="AA245" s="153"/>
      <c r="AB245" s="153"/>
      <c r="AC245" s="153"/>
      <c r="AD245" s="153"/>
      <c r="AE245" s="153"/>
      <c r="AF245" s="153"/>
      <c r="AG245" s="153"/>
      <c r="AH245" s="153"/>
      <c r="AI245" s="153"/>
      <c r="AJ245" s="153"/>
      <c r="AK245" s="153"/>
      <c r="AL245" s="153"/>
      <c r="AM245" s="153"/>
      <c r="AN245" s="153"/>
      <c r="AO245" s="153"/>
      <c r="AP245" s="153"/>
      <c r="AQ245" s="153"/>
      <c r="AR245" s="153"/>
      <c r="AS245" s="153"/>
      <c r="AT245" s="153"/>
      <c r="AU245" s="153"/>
      <c r="AV245" s="153"/>
      <c r="AW245" s="153"/>
      <c r="AX245" s="153"/>
      <c r="AY245" s="153"/>
      <c r="AZ245" s="153"/>
      <c r="BA245" s="153"/>
      <c r="BB245" s="153"/>
      <c r="BC245" s="153"/>
      <c r="BD245" s="153"/>
      <c r="BE245" s="153"/>
      <c r="BF245" s="153"/>
      <c r="BG245" s="153"/>
      <c r="BH245" s="153"/>
      <c r="BI245" s="153"/>
      <c r="BJ245" s="153"/>
      <c r="BK245" s="153"/>
      <c r="BL245" s="153"/>
      <c r="BM245" s="153"/>
      <c r="BN245" s="153"/>
      <c r="BO245" s="153"/>
      <c r="BP245" s="153"/>
      <c r="BQ245" s="153"/>
    </row>
    <row r="246" spans="1:69" x14ac:dyDescent="0.2">
      <c r="A246" s="153"/>
      <c r="B246" s="153"/>
      <c r="C246" s="153"/>
      <c r="D246" s="153"/>
      <c r="E246" s="153"/>
      <c r="F246" s="153"/>
      <c r="G246" s="153"/>
      <c r="H246" s="153"/>
      <c r="I246" s="153"/>
      <c r="J246" s="153"/>
      <c r="K246" s="153"/>
      <c r="L246" s="153"/>
      <c r="M246" s="153"/>
      <c r="N246" s="153"/>
      <c r="O246" s="153"/>
      <c r="P246" s="153"/>
      <c r="Q246" s="153"/>
      <c r="R246" s="153"/>
      <c r="S246" s="153"/>
      <c r="T246" s="153"/>
      <c r="U246" s="153"/>
      <c r="V246" s="153"/>
      <c r="W246" s="153"/>
      <c r="X246" s="153"/>
      <c r="Y246" s="153"/>
      <c r="Z246" s="153"/>
      <c r="AA246" s="153"/>
      <c r="AB246" s="153"/>
      <c r="AC246" s="153"/>
      <c r="AD246" s="153"/>
      <c r="AE246" s="153"/>
      <c r="AF246" s="153"/>
      <c r="AG246" s="153"/>
      <c r="AH246" s="153"/>
      <c r="AI246" s="153"/>
      <c r="AJ246" s="153"/>
      <c r="AK246" s="153"/>
      <c r="AL246" s="153"/>
      <c r="AM246" s="153"/>
      <c r="AN246" s="153"/>
      <c r="AO246" s="153"/>
      <c r="AP246" s="153"/>
      <c r="AQ246" s="153"/>
      <c r="AR246" s="153"/>
      <c r="AS246" s="153"/>
      <c r="AT246" s="153"/>
      <c r="AU246" s="153"/>
      <c r="AV246" s="153"/>
      <c r="AW246" s="153"/>
      <c r="AX246" s="153"/>
      <c r="AY246" s="153"/>
      <c r="AZ246" s="153"/>
      <c r="BA246" s="153"/>
      <c r="BB246" s="153"/>
      <c r="BC246" s="153"/>
      <c r="BD246" s="153"/>
      <c r="BE246" s="153"/>
      <c r="BF246" s="153"/>
      <c r="BG246" s="153"/>
      <c r="BH246" s="153"/>
      <c r="BI246" s="153"/>
      <c r="BJ246" s="153"/>
      <c r="BK246" s="153"/>
      <c r="BL246" s="153"/>
      <c r="BM246" s="153"/>
      <c r="BN246" s="153"/>
      <c r="BO246" s="153"/>
      <c r="BP246" s="153"/>
      <c r="BQ246" s="153"/>
    </row>
    <row r="247" spans="1:69" x14ac:dyDescent="0.2">
      <c r="A247" s="153"/>
      <c r="B247" s="153"/>
      <c r="C247" s="153"/>
      <c r="D247" s="153"/>
      <c r="E247" s="153"/>
      <c r="F247" s="153"/>
      <c r="G247" s="153"/>
      <c r="H247" s="153"/>
      <c r="I247" s="153"/>
      <c r="J247" s="153"/>
      <c r="K247" s="153"/>
      <c r="L247" s="153"/>
      <c r="M247" s="153"/>
      <c r="N247" s="153"/>
      <c r="O247" s="153"/>
      <c r="P247" s="153"/>
      <c r="Q247" s="153"/>
      <c r="R247" s="153"/>
      <c r="S247" s="153"/>
      <c r="T247" s="153"/>
      <c r="U247" s="153"/>
      <c r="V247" s="153"/>
      <c r="W247" s="153"/>
      <c r="X247" s="153"/>
      <c r="Y247" s="153"/>
      <c r="Z247" s="153"/>
      <c r="AA247" s="153"/>
      <c r="AB247" s="153"/>
      <c r="AC247" s="153"/>
      <c r="AD247" s="153"/>
      <c r="AE247" s="153"/>
      <c r="AF247" s="153"/>
      <c r="AG247" s="153"/>
      <c r="AH247" s="153"/>
      <c r="AI247" s="153"/>
      <c r="AJ247" s="153"/>
      <c r="AK247" s="153"/>
      <c r="AL247" s="153"/>
      <c r="AM247" s="153"/>
      <c r="AN247" s="153"/>
      <c r="AO247" s="153"/>
      <c r="AP247" s="153"/>
      <c r="AQ247" s="153"/>
      <c r="AR247" s="153"/>
      <c r="AS247" s="153"/>
      <c r="AT247" s="153"/>
      <c r="AU247" s="153"/>
      <c r="AV247" s="153"/>
      <c r="AW247" s="153"/>
      <c r="AX247" s="153"/>
      <c r="AY247" s="153"/>
      <c r="AZ247" s="153"/>
      <c r="BA247" s="153"/>
      <c r="BB247" s="153"/>
      <c r="BC247" s="153"/>
      <c r="BD247" s="153"/>
      <c r="BE247" s="153"/>
      <c r="BF247" s="153"/>
      <c r="BG247" s="153"/>
      <c r="BH247" s="153"/>
      <c r="BI247" s="153"/>
      <c r="BJ247" s="153"/>
      <c r="BK247" s="153"/>
      <c r="BL247" s="153"/>
      <c r="BM247" s="153"/>
      <c r="BN247" s="153"/>
      <c r="BO247" s="153"/>
      <c r="BP247" s="153"/>
      <c r="BQ247" s="153"/>
    </row>
    <row r="248" spans="1:69" x14ac:dyDescent="0.2">
      <c r="A248" s="153"/>
      <c r="B248" s="153"/>
      <c r="C248" s="153"/>
      <c r="D248" s="153"/>
      <c r="E248" s="153"/>
      <c r="F248" s="153"/>
      <c r="G248" s="153"/>
      <c r="H248" s="153"/>
      <c r="I248" s="153"/>
      <c r="J248" s="153"/>
      <c r="K248" s="153"/>
      <c r="L248" s="153"/>
      <c r="M248" s="153"/>
      <c r="N248" s="153"/>
      <c r="O248" s="153"/>
      <c r="P248" s="153"/>
      <c r="Q248" s="153"/>
      <c r="R248" s="153"/>
      <c r="S248" s="153"/>
      <c r="T248" s="153"/>
      <c r="U248" s="153"/>
      <c r="V248" s="153"/>
      <c r="W248" s="153"/>
      <c r="X248" s="153"/>
      <c r="Y248" s="153"/>
      <c r="Z248" s="153"/>
      <c r="AA248" s="153"/>
      <c r="AB248" s="153"/>
      <c r="AC248" s="153"/>
      <c r="AD248" s="153"/>
      <c r="AE248" s="153"/>
      <c r="AF248" s="153"/>
      <c r="AG248" s="153"/>
      <c r="AH248" s="153"/>
      <c r="AI248" s="153"/>
      <c r="AJ248" s="153"/>
      <c r="AK248" s="153"/>
      <c r="AL248" s="153"/>
      <c r="AM248" s="153"/>
      <c r="AN248" s="153"/>
      <c r="AO248" s="153"/>
      <c r="AP248" s="153"/>
      <c r="AQ248" s="153"/>
      <c r="AR248" s="153"/>
      <c r="AS248" s="153"/>
      <c r="AT248" s="153"/>
      <c r="AU248" s="153"/>
      <c r="AV248" s="153"/>
      <c r="AW248" s="153"/>
      <c r="AX248" s="153"/>
      <c r="AY248" s="153"/>
      <c r="AZ248" s="153"/>
      <c r="BA248" s="153"/>
      <c r="BB248" s="153"/>
      <c r="BC248" s="153"/>
      <c r="BD248" s="153"/>
      <c r="BE248" s="153"/>
      <c r="BF248" s="153"/>
      <c r="BG248" s="153"/>
      <c r="BH248" s="153"/>
      <c r="BI248" s="153"/>
      <c r="BJ248" s="153"/>
      <c r="BK248" s="153"/>
      <c r="BL248" s="153"/>
      <c r="BM248" s="153"/>
      <c r="BN248" s="153"/>
      <c r="BO248" s="153"/>
      <c r="BP248" s="153"/>
      <c r="BQ248" s="153"/>
    </row>
    <row r="249" spans="1:69" x14ac:dyDescent="0.2">
      <c r="A249" s="153"/>
      <c r="B249" s="153"/>
      <c r="C249" s="153"/>
      <c r="D249" s="153"/>
      <c r="E249" s="153"/>
      <c r="F249" s="153"/>
      <c r="G249" s="153"/>
      <c r="H249" s="153"/>
      <c r="I249" s="153"/>
      <c r="J249" s="153"/>
      <c r="K249" s="153"/>
      <c r="L249" s="153"/>
      <c r="M249" s="153"/>
      <c r="N249" s="153"/>
      <c r="O249" s="153"/>
      <c r="P249" s="153"/>
      <c r="Q249" s="153"/>
      <c r="R249" s="153"/>
      <c r="S249" s="153"/>
      <c r="T249" s="153"/>
      <c r="U249" s="153"/>
      <c r="V249" s="153"/>
      <c r="W249" s="153"/>
      <c r="X249" s="153"/>
      <c r="Y249" s="153"/>
      <c r="Z249" s="153"/>
      <c r="AA249" s="153"/>
      <c r="AB249" s="153"/>
      <c r="AC249" s="153"/>
      <c r="AD249" s="153"/>
      <c r="AE249" s="153"/>
      <c r="AF249" s="153"/>
      <c r="AG249" s="153"/>
      <c r="AH249" s="153"/>
      <c r="AI249" s="153"/>
      <c r="AJ249" s="153"/>
      <c r="AK249" s="153"/>
      <c r="AL249" s="153"/>
      <c r="AM249" s="153"/>
      <c r="AN249" s="153"/>
      <c r="AO249" s="153"/>
      <c r="AP249" s="153"/>
      <c r="AQ249" s="153"/>
      <c r="AR249" s="153"/>
      <c r="AS249" s="153"/>
      <c r="AT249" s="153"/>
      <c r="AU249" s="153"/>
      <c r="AV249" s="153"/>
      <c r="AW249" s="153"/>
      <c r="AX249" s="153"/>
      <c r="AY249" s="153"/>
      <c r="AZ249" s="153"/>
      <c r="BA249" s="153"/>
      <c r="BB249" s="153"/>
      <c r="BC249" s="153"/>
      <c r="BD249" s="153"/>
      <c r="BE249" s="153"/>
      <c r="BF249" s="153"/>
      <c r="BG249" s="153"/>
      <c r="BH249" s="153"/>
      <c r="BI249" s="153"/>
      <c r="BJ249" s="153"/>
      <c r="BK249" s="153"/>
      <c r="BL249" s="153"/>
      <c r="BM249" s="153"/>
      <c r="BN249" s="153"/>
      <c r="BO249" s="153"/>
      <c r="BP249" s="153"/>
      <c r="BQ249" s="153"/>
    </row>
    <row r="250" spans="1:69" x14ac:dyDescent="0.2">
      <c r="A250" s="153"/>
      <c r="B250" s="153"/>
      <c r="C250" s="153"/>
      <c r="D250" s="153"/>
      <c r="E250" s="153"/>
      <c r="F250" s="153"/>
      <c r="G250" s="153"/>
      <c r="H250" s="153"/>
      <c r="I250" s="153"/>
      <c r="J250" s="153"/>
      <c r="K250" s="153"/>
      <c r="L250" s="153"/>
      <c r="M250" s="153"/>
      <c r="N250" s="153"/>
      <c r="O250" s="153"/>
      <c r="P250" s="153"/>
      <c r="Q250" s="153"/>
      <c r="R250" s="153"/>
      <c r="S250" s="153"/>
      <c r="T250" s="153"/>
      <c r="U250" s="153"/>
      <c r="V250" s="153"/>
      <c r="W250" s="153"/>
      <c r="X250" s="153"/>
      <c r="Y250" s="153"/>
      <c r="Z250" s="153"/>
      <c r="AA250" s="153"/>
      <c r="AB250" s="153"/>
      <c r="AC250" s="153"/>
      <c r="AD250" s="153"/>
      <c r="AE250" s="153"/>
      <c r="AF250" s="153"/>
      <c r="AG250" s="153"/>
      <c r="AH250" s="153"/>
      <c r="AI250" s="153"/>
      <c r="AJ250" s="153"/>
      <c r="AK250" s="153"/>
      <c r="AL250" s="153"/>
      <c r="AM250" s="153"/>
      <c r="AN250" s="153"/>
      <c r="AO250" s="153"/>
      <c r="AP250" s="153"/>
      <c r="AQ250" s="153"/>
      <c r="AR250" s="153"/>
      <c r="AS250" s="153"/>
      <c r="AT250" s="153"/>
      <c r="AU250" s="153"/>
      <c r="AV250" s="153"/>
      <c r="AW250" s="153"/>
      <c r="AX250" s="153"/>
      <c r="AY250" s="153"/>
      <c r="AZ250" s="153"/>
      <c r="BA250" s="153"/>
      <c r="BB250" s="153"/>
      <c r="BC250" s="153"/>
      <c r="BD250" s="153"/>
      <c r="BE250" s="153"/>
      <c r="BF250" s="153"/>
      <c r="BG250" s="153"/>
      <c r="BH250" s="153"/>
      <c r="BI250" s="153"/>
      <c r="BJ250" s="153"/>
      <c r="BK250" s="153"/>
      <c r="BL250" s="153"/>
      <c r="BM250" s="153"/>
      <c r="BN250" s="153"/>
      <c r="BO250" s="153"/>
      <c r="BP250" s="153"/>
      <c r="BQ250" s="153"/>
    </row>
    <row r="251" spans="1:69" x14ac:dyDescent="0.2">
      <c r="A251" s="153"/>
      <c r="B251" s="153"/>
      <c r="C251" s="153"/>
      <c r="D251" s="153"/>
      <c r="E251" s="153"/>
      <c r="F251" s="153"/>
      <c r="G251" s="153"/>
      <c r="H251" s="153"/>
      <c r="I251" s="153"/>
      <c r="J251" s="153"/>
      <c r="K251" s="153"/>
      <c r="L251" s="153"/>
      <c r="M251" s="153"/>
      <c r="N251" s="153"/>
      <c r="O251" s="153"/>
      <c r="P251" s="153"/>
      <c r="Q251" s="153"/>
      <c r="R251" s="153"/>
      <c r="S251" s="153"/>
      <c r="T251" s="153"/>
      <c r="U251" s="153"/>
      <c r="V251" s="153"/>
      <c r="W251" s="153"/>
      <c r="X251" s="153"/>
      <c r="Y251" s="153"/>
      <c r="Z251" s="153"/>
      <c r="AA251" s="153"/>
      <c r="AB251" s="153"/>
      <c r="AC251" s="153"/>
      <c r="AD251" s="153"/>
      <c r="AE251" s="153"/>
      <c r="AF251" s="153"/>
      <c r="AG251" s="153"/>
      <c r="AH251" s="153"/>
      <c r="AI251" s="153"/>
      <c r="AJ251" s="153"/>
      <c r="AK251" s="153"/>
      <c r="AL251" s="153"/>
      <c r="AM251" s="153"/>
      <c r="AN251" s="153"/>
      <c r="AO251" s="153"/>
      <c r="AP251" s="153"/>
      <c r="AQ251" s="153"/>
      <c r="AR251" s="153"/>
      <c r="AS251" s="153"/>
      <c r="AT251" s="153"/>
      <c r="AU251" s="153"/>
      <c r="AV251" s="153"/>
      <c r="AW251" s="153"/>
      <c r="AX251" s="153"/>
      <c r="AY251" s="153"/>
      <c r="AZ251" s="153"/>
      <c r="BA251" s="153"/>
      <c r="BB251" s="153"/>
      <c r="BC251" s="153"/>
      <c r="BD251" s="153"/>
      <c r="BE251" s="153"/>
      <c r="BF251" s="153"/>
      <c r="BG251" s="153"/>
      <c r="BH251" s="153"/>
      <c r="BI251" s="153"/>
      <c r="BJ251" s="153"/>
      <c r="BK251" s="153"/>
      <c r="BL251" s="153"/>
      <c r="BM251" s="153"/>
      <c r="BN251" s="153"/>
      <c r="BO251" s="153"/>
      <c r="BP251" s="153"/>
      <c r="BQ251" s="153"/>
    </row>
    <row r="252" spans="1:69" x14ac:dyDescent="0.2">
      <c r="A252" s="153"/>
      <c r="B252" s="153"/>
      <c r="C252" s="153"/>
      <c r="D252" s="153"/>
      <c r="E252" s="153"/>
      <c r="F252" s="153"/>
      <c r="G252" s="153"/>
      <c r="H252" s="153"/>
      <c r="I252" s="153"/>
      <c r="J252" s="153"/>
      <c r="K252" s="153"/>
      <c r="L252" s="153"/>
      <c r="M252" s="153"/>
      <c r="N252" s="153"/>
      <c r="O252" s="153"/>
      <c r="P252" s="153"/>
      <c r="Q252" s="153"/>
      <c r="R252" s="153"/>
      <c r="S252" s="153"/>
      <c r="T252" s="153"/>
      <c r="U252" s="153"/>
      <c r="V252" s="153"/>
      <c r="W252" s="153"/>
      <c r="X252" s="153"/>
      <c r="Y252" s="153"/>
      <c r="Z252" s="153"/>
      <c r="AA252" s="153"/>
      <c r="AB252" s="153"/>
      <c r="AC252" s="153"/>
      <c r="AD252" s="153"/>
      <c r="AE252" s="153"/>
      <c r="AF252" s="153"/>
      <c r="AG252" s="153"/>
      <c r="AH252" s="153"/>
      <c r="AI252" s="153"/>
      <c r="AJ252" s="153"/>
      <c r="AK252" s="153"/>
      <c r="AL252" s="153"/>
      <c r="AM252" s="153"/>
      <c r="AN252" s="153"/>
      <c r="AO252" s="153"/>
      <c r="AP252" s="153"/>
      <c r="AQ252" s="153"/>
      <c r="AR252" s="153"/>
      <c r="AS252" s="153"/>
      <c r="AT252" s="153"/>
      <c r="AU252" s="153"/>
      <c r="AV252" s="153"/>
      <c r="AW252" s="153"/>
      <c r="AX252" s="153"/>
      <c r="AY252" s="153"/>
      <c r="AZ252" s="153"/>
      <c r="BA252" s="153"/>
      <c r="BB252" s="153"/>
      <c r="BC252" s="153"/>
      <c r="BD252" s="153"/>
      <c r="BE252" s="153"/>
      <c r="BF252" s="153"/>
      <c r="BG252" s="153"/>
      <c r="BH252" s="153"/>
      <c r="BI252" s="153"/>
      <c r="BJ252" s="153"/>
      <c r="BK252" s="153"/>
      <c r="BL252" s="153"/>
      <c r="BM252" s="153"/>
      <c r="BN252" s="153"/>
      <c r="BO252" s="153"/>
      <c r="BP252" s="153"/>
      <c r="BQ252" s="153"/>
    </row>
    <row r="253" spans="1:69" x14ac:dyDescent="0.2">
      <c r="A253" s="153"/>
      <c r="B253" s="153"/>
      <c r="C253" s="153"/>
      <c r="D253" s="153"/>
      <c r="E253" s="153"/>
      <c r="F253" s="153"/>
      <c r="G253" s="153"/>
      <c r="H253" s="153"/>
      <c r="I253" s="153"/>
      <c r="J253" s="153"/>
      <c r="K253" s="153"/>
      <c r="L253" s="153"/>
      <c r="M253" s="153"/>
      <c r="N253" s="153"/>
      <c r="O253" s="153"/>
      <c r="P253" s="153"/>
      <c r="Q253" s="153"/>
      <c r="R253" s="153"/>
      <c r="S253" s="153"/>
      <c r="T253" s="153"/>
      <c r="U253" s="153"/>
      <c r="V253" s="153"/>
      <c r="W253" s="153"/>
      <c r="X253" s="153"/>
      <c r="Y253" s="153"/>
      <c r="Z253" s="153"/>
      <c r="AA253" s="153"/>
      <c r="AB253" s="153"/>
      <c r="AC253" s="153"/>
      <c r="AD253" s="153"/>
      <c r="AE253" s="153"/>
      <c r="AF253" s="153"/>
      <c r="AG253" s="153"/>
      <c r="AH253" s="153"/>
      <c r="AI253" s="153"/>
      <c r="AJ253" s="153"/>
      <c r="AK253" s="153"/>
      <c r="AL253" s="153"/>
      <c r="AM253" s="153"/>
      <c r="AN253" s="153"/>
      <c r="AO253" s="153"/>
      <c r="AP253" s="153"/>
      <c r="AQ253" s="153"/>
      <c r="AR253" s="153"/>
      <c r="AS253" s="153"/>
      <c r="AT253" s="153"/>
      <c r="AU253" s="153"/>
      <c r="AV253" s="153"/>
      <c r="AW253" s="153"/>
      <c r="AX253" s="153"/>
      <c r="AY253" s="153"/>
      <c r="AZ253" s="153"/>
      <c r="BA253" s="153"/>
      <c r="BB253" s="153"/>
      <c r="BC253" s="153"/>
      <c r="BD253" s="153"/>
      <c r="BE253" s="153"/>
      <c r="BF253" s="153"/>
      <c r="BG253" s="153"/>
      <c r="BH253" s="153"/>
      <c r="BI253" s="153"/>
      <c r="BJ253" s="153"/>
      <c r="BK253" s="153"/>
      <c r="BL253" s="153"/>
      <c r="BM253" s="153"/>
      <c r="BN253" s="153"/>
      <c r="BO253" s="153"/>
      <c r="BP253" s="153"/>
      <c r="BQ253" s="153"/>
    </row>
    <row r="254" spans="1:69" x14ac:dyDescent="0.2">
      <c r="A254" s="153"/>
      <c r="B254" s="153"/>
      <c r="C254" s="153"/>
      <c r="D254" s="153"/>
      <c r="E254" s="153"/>
      <c r="F254" s="153"/>
      <c r="G254" s="153"/>
      <c r="H254" s="153"/>
      <c r="I254" s="153"/>
      <c r="J254" s="153"/>
      <c r="K254" s="153"/>
      <c r="L254" s="153"/>
      <c r="M254" s="153"/>
      <c r="N254" s="153"/>
      <c r="O254" s="153"/>
      <c r="P254" s="153"/>
      <c r="Q254" s="153"/>
      <c r="R254" s="153"/>
      <c r="S254" s="153"/>
      <c r="T254" s="153"/>
      <c r="U254" s="153"/>
      <c r="V254" s="153"/>
      <c r="W254" s="153"/>
      <c r="X254" s="153"/>
      <c r="Y254" s="153"/>
      <c r="Z254" s="153"/>
      <c r="AA254" s="153"/>
      <c r="AB254" s="153"/>
      <c r="AC254" s="153"/>
      <c r="AD254" s="153"/>
      <c r="AE254" s="153"/>
      <c r="AF254" s="153"/>
      <c r="AG254" s="153"/>
      <c r="AH254" s="153"/>
      <c r="AI254" s="153"/>
      <c r="AJ254" s="153"/>
      <c r="AK254" s="153"/>
      <c r="AL254" s="153"/>
      <c r="AM254" s="153"/>
      <c r="AN254" s="153"/>
      <c r="AO254" s="153"/>
      <c r="AP254" s="153"/>
      <c r="AQ254" s="153"/>
      <c r="AR254" s="153"/>
      <c r="AS254" s="153"/>
      <c r="AT254" s="153"/>
      <c r="AU254" s="153"/>
      <c r="AV254" s="153"/>
      <c r="AW254" s="153"/>
      <c r="AX254" s="153"/>
      <c r="AY254" s="153"/>
      <c r="AZ254" s="153"/>
      <c r="BA254" s="153"/>
      <c r="BB254" s="153"/>
      <c r="BC254" s="153"/>
      <c r="BD254" s="153"/>
      <c r="BE254" s="153"/>
      <c r="BF254" s="153"/>
      <c r="BG254" s="153"/>
      <c r="BH254" s="153"/>
      <c r="BI254" s="153"/>
      <c r="BJ254" s="153"/>
      <c r="BK254" s="153"/>
      <c r="BL254" s="153"/>
      <c r="BM254" s="153"/>
      <c r="BN254" s="153"/>
      <c r="BO254" s="153"/>
      <c r="BP254" s="153"/>
      <c r="BQ254" s="153"/>
    </row>
    <row r="255" spans="1:69" x14ac:dyDescent="0.2">
      <c r="A255" s="153"/>
      <c r="B255" s="153"/>
      <c r="C255" s="153"/>
      <c r="D255" s="153"/>
      <c r="E255" s="153"/>
      <c r="F255" s="153"/>
      <c r="G255" s="153"/>
      <c r="H255" s="153"/>
      <c r="I255" s="153"/>
      <c r="J255" s="153"/>
      <c r="K255" s="153"/>
      <c r="L255" s="153"/>
      <c r="M255" s="153"/>
      <c r="N255" s="153"/>
      <c r="O255" s="153"/>
      <c r="P255" s="153"/>
      <c r="Q255" s="153"/>
      <c r="R255" s="153"/>
      <c r="S255" s="153"/>
      <c r="T255" s="153"/>
      <c r="U255" s="153"/>
      <c r="V255" s="153"/>
      <c r="W255" s="153"/>
      <c r="X255" s="153"/>
      <c r="Y255" s="153"/>
      <c r="Z255" s="153"/>
      <c r="AA255" s="153"/>
      <c r="AB255" s="153"/>
      <c r="AC255" s="153"/>
      <c r="AD255" s="153"/>
      <c r="AE255" s="153"/>
      <c r="AF255" s="153"/>
      <c r="AG255" s="153"/>
      <c r="AH255" s="153"/>
      <c r="AI255" s="153"/>
      <c r="AJ255" s="153"/>
      <c r="AK255" s="153"/>
      <c r="AL255" s="153"/>
      <c r="AM255" s="153"/>
      <c r="AN255" s="153"/>
      <c r="AO255" s="153"/>
      <c r="AP255" s="153"/>
      <c r="AQ255" s="153"/>
      <c r="AR255" s="153"/>
      <c r="AS255" s="153"/>
      <c r="AT255" s="153"/>
      <c r="AU255" s="153"/>
      <c r="AV255" s="153"/>
      <c r="AW255" s="153"/>
      <c r="AX255" s="153"/>
      <c r="AY255" s="153"/>
      <c r="AZ255" s="153"/>
      <c r="BA255" s="153"/>
      <c r="BB255" s="153"/>
      <c r="BC255" s="153"/>
      <c r="BD255" s="153"/>
      <c r="BE255" s="153"/>
      <c r="BF255" s="153"/>
      <c r="BG255" s="153"/>
      <c r="BH255" s="153"/>
      <c r="BI255" s="153"/>
      <c r="BJ255" s="153"/>
      <c r="BK255" s="153"/>
      <c r="BL255" s="153"/>
      <c r="BM255" s="153"/>
      <c r="BN255" s="153"/>
      <c r="BO255" s="153"/>
      <c r="BP255" s="153"/>
      <c r="BQ255" s="153"/>
    </row>
    <row r="256" spans="1:69" x14ac:dyDescent="0.2">
      <c r="A256" s="153"/>
      <c r="B256" s="153"/>
      <c r="C256" s="153"/>
      <c r="D256" s="153"/>
      <c r="E256" s="153"/>
      <c r="F256" s="153"/>
      <c r="G256" s="153"/>
      <c r="H256" s="153"/>
      <c r="I256" s="153"/>
      <c r="J256" s="153"/>
      <c r="K256" s="153"/>
      <c r="L256" s="153"/>
      <c r="M256" s="153"/>
      <c r="N256" s="153"/>
      <c r="O256" s="153"/>
      <c r="P256" s="153"/>
      <c r="Q256" s="153"/>
      <c r="R256" s="153"/>
      <c r="S256" s="153"/>
      <c r="T256" s="153"/>
      <c r="U256" s="153"/>
      <c r="V256" s="153"/>
      <c r="W256" s="153"/>
      <c r="X256" s="153"/>
      <c r="Y256" s="153"/>
      <c r="Z256" s="153"/>
      <c r="AA256" s="153"/>
      <c r="AB256" s="153"/>
      <c r="AC256" s="153"/>
      <c r="AD256" s="153"/>
      <c r="AE256" s="153"/>
      <c r="AF256" s="153"/>
      <c r="AG256" s="153"/>
      <c r="AH256" s="153"/>
      <c r="AI256" s="153"/>
      <c r="AJ256" s="153"/>
      <c r="AK256" s="153"/>
      <c r="AL256" s="153"/>
      <c r="AM256" s="153"/>
      <c r="AN256" s="153"/>
      <c r="AO256" s="153"/>
      <c r="AP256" s="153"/>
      <c r="AQ256" s="153"/>
      <c r="AR256" s="153"/>
      <c r="AS256" s="153"/>
      <c r="AT256" s="153"/>
      <c r="AU256" s="153"/>
      <c r="AV256" s="153"/>
      <c r="AW256" s="153"/>
      <c r="AX256" s="153"/>
      <c r="AY256" s="153"/>
      <c r="AZ256" s="153"/>
      <c r="BA256" s="153"/>
      <c r="BB256" s="153"/>
      <c r="BC256" s="153"/>
      <c r="BD256" s="153"/>
      <c r="BE256" s="153"/>
      <c r="BF256" s="153"/>
      <c r="BG256" s="153"/>
      <c r="BH256" s="153"/>
      <c r="BI256" s="153"/>
      <c r="BJ256" s="153"/>
      <c r="BK256" s="153"/>
      <c r="BL256" s="153"/>
      <c r="BM256" s="153"/>
      <c r="BN256" s="153"/>
      <c r="BO256" s="153"/>
      <c r="BP256" s="153"/>
      <c r="BQ256" s="153"/>
    </row>
    <row r="257" spans="1:69" x14ac:dyDescent="0.2">
      <c r="A257" s="153"/>
      <c r="B257" s="153"/>
      <c r="C257" s="153"/>
      <c r="D257" s="153"/>
      <c r="E257" s="153"/>
      <c r="F257" s="153"/>
      <c r="G257" s="153"/>
      <c r="H257" s="153"/>
      <c r="I257" s="153"/>
      <c r="J257" s="153"/>
      <c r="K257" s="153"/>
      <c r="L257" s="153"/>
      <c r="M257" s="153"/>
      <c r="N257" s="153"/>
      <c r="O257" s="153"/>
      <c r="P257" s="153"/>
      <c r="Q257" s="153"/>
      <c r="R257" s="153"/>
      <c r="S257" s="153"/>
      <c r="T257" s="153"/>
      <c r="U257" s="153"/>
      <c r="V257" s="153"/>
      <c r="W257" s="153"/>
      <c r="X257" s="153"/>
      <c r="Y257" s="153"/>
      <c r="Z257" s="153"/>
      <c r="AA257" s="153"/>
      <c r="AB257" s="153"/>
      <c r="AC257" s="153"/>
      <c r="AD257" s="153"/>
      <c r="AE257" s="153"/>
      <c r="AF257" s="153"/>
      <c r="AG257" s="153"/>
      <c r="AH257" s="153"/>
      <c r="AI257" s="153"/>
      <c r="AJ257" s="153"/>
      <c r="AK257" s="153"/>
      <c r="AL257" s="153"/>
      <c r="AM257" s="153"/>
      <c r="AN257" s="153"/>
      <c r="AO257" s="153"/>
      <c r="AP257" s="153"/>
      <c r="AQ257" s="153"/>
      <c r="AR257" s="153"/>
      <c r="AS257" s="153"/>
      <c r="AT257" s="153"/>
      <c r="AU257" s="153"/>
      <c r="AV257" s="153"/>
      <c r="AW257" s="153"/>
      <c r="AX257" s="153"/>
      <c r="AY257" s="153"/>
      <c r="AZ257" s="153"/>
      <c r="BA257" s="153"/>
      <c r="BB257" s="153"/>
      <c r="BC257" s="153"/>
      <c r="BD257" s="153"/>
      <c r="BE257" s="153"/>
      <c r="BF257" s="153"/>
      <c r="BG257" s="153"/>
      <c r="BH257" s="153"/>
      <c r="BI257" s="153"/>
      <c r="BJ257" s="153"/>
      <c r="BK257" s="153"/>
      <c r="BL257" s="153"/>
      <c r="BM257" s="153"/>
      <c r="BN257" s="153"/>
      <c r="BO257" s="153"/>
      <c r="BP257" s="153"/>
      <c r="BQ257" s="153"/>
    </row>
    <row r="258" spans="1:69" x14ac:dyDescent="0.2">
      <c r="A258" s="153"/>
      <c r="B258" s="153"/>
      <c r="C258" s="153"/>
      <c r="D258" s="153"/>
      <c r="E258" s="153"/>
      <c r="F258" s="153"/>
      <c r="G258" s="153"/>
      <c r="H258" s="153"/>
      <c r="I258" s="153"/>
      <c r="J258" s="153"/>
      <c r="K258" s="153"/>
      <c r="L258" s="153"/>
      <c r="M258" s="153"/>
      <c r="N258" s="153"/>
      <c r="O258" s="153"/>
      <c r="P258" s="153"/>
      <c r="Q258" s="153"/>
      <c r="R258" s="153"/>
      <c r="S258" s="153"/>
      <c r="T258" s="153"/>
      <c r="U258" s="153"/>
      <c r="V258" s="153"/>
      <c r="W258" s="153"/>
      <c r="X258" s="153"/>
      <c r="Y258" s="153"/>
      <c r="Z258" s="153"/>
      <c r="AA258" s="153"/>
      <c r="AB258" s="153"/>
      <c r="AC258" s="153"/>
      <c r="AD258" s="153"/>
      <c r="AE258" s="153"/>
      <c r="AF258" s="153"/>
      <c r="AG258" s="153"/>
      <c r="AH258" s="153"/>
      <c r="AI258" s="153"/>
      <c r="AJ258" s="153"/>
      <c r="AK258" s="153"/>
      <c r="AL258" s="153"/>
      <c r="AM258" s="153"/>
      <c r="AN258" s="153"/>
      <c r="AO258" s="153"/>
      <c r="AP258" s="153"/>
      <c r="AQ258" s="153"/>
      <c r="AR258" s="153"/>
      <c r="AS258" s="153"/>
      <c r="AT258" s="153"/>
      <c r="AU258" s="153"/>
      <c r="AV258" s="153"/>
      <c r="AW258" s="153"/>
      <c r="AX258" s="153"/>
      <c r="AY258" s="153"/>
      <c r="AZ258" s="153"/>
      <c r="BA258" s="153"/>
      <c r="BB258" s="153"/>
      <c r="BC258" s="153"/>
      <c r="BD258" s="153"/>
      <c r="BE258" s="153"/>
      <c r="BF258" s="153"/>
      <c r="BG258" s="153"/>
      <c r="BH258" s="153"/>
      <c r="BI258" s="153"/>
      <c r="BJ258" s="153"/>
      <c r="BK258" s="153"/>
      <c r="BL258" s="153"/>
      <c r="BM258" s="153"/>
      <c r="BN258" s="153"/>
      <c r="BO258" s="153"/>
      <c r="BP258" s="153"/>
      <c r="BQ258" s="153"/>
    </row>
    <row r="259" spans="1:69" x14ac:dyDescent="0.2">
      <c r="A259" s="153"/>
      <c r="B259" s="153"/>
      <c r="C259" s="153"/>
      <c r="D259" s="153"/>
      <c r="E259" s="153"/>
      <c r="F259" s="153"/>
      <c r="G259" s="153"/>
      <c r="H259" s="153"/>
      <c r="I259" s="153"/>
      <c r="J259" s="153"/>
      <c r="K259" s="153"/>
      <c r="L259" s="153"/>
      <c r="M259" s="153"/>
      <c r="N259" s="153"/>
      <c r="O259" s="153"/>
      <c r="P259" s="153"/>
      <c r="Q259" s="153"/>
      <c r="R259" s="153"/>
      <c r="S259" s="153"/>
      <c r="T259" s="153"/>
      <c r="U259" s="153"/>
      <c r="V259" s="153"/>
      <c r="W259" s="153"/>
      <c r="X259" s="153"/>
      <c r="Y259" s="153"/>
      <c r="Z259" s="153"/>
      <c r="AA259" s="153"/>
      <c r="AB259" s="153"/>
      <c r="AC259" s="153"/>
      <c r="AD259" s="153"/>
      <c r="AE259" s="153"/>
      <c r="AF259" s="153"/>
      <c r="AG259" s="153"/>
      <c r="AH259" s="153"/>
      <c r="AI259" s="153"/>
      <c r="AJ259" s="153"/>
      <c r="AK259" s="153"/>
      <c r="AL259" s="153"/>
      <c r="AM259" s="153"/>
      <c r="AN259" s="153"/>
      <c r="AO259" s="153"/>
      <c r="AP259" s="153"/>
      <c r="AQ259" s="153"/>
      <c r="AR259" s="153"/>
      <c r="AS259" s="153"/>
      <c r="AT259" s="153"/>
      <c r="AU259" s="153"/>
      <c r="AV259" s="153"/>
      <c r="AW259" s="153"/>
      <c r="AX259" s="153"/>
      <c r="AY259" s="153"/>
      <c r="AZ259" s="153"/>
      <c r="BA259" s="153"/>
      <c r="BB259" s="153"/>
      <c r="BC259" s="153"/>
      <c r="BD259" s="153"/>
      <c r="BE259" s="153"/>
      <c r="BF259" s="153"/>
      <c r="BG259" s="153"/>
      <c r="BH259" s="153"/>
      <c r="BI259" s="153"/>
      <c r="BJ259" s="153"/>
      <c r="BK259" s="153"/>
      <c r="BL259" s="153"/>
      <c r="BM259" s="153"/>
      <c r="BN259" s="153"/>
      <c r="BO259" s="153"/>
      <c r="BP259" s="153"/>
      <c r="BQ259" s="153"/>
    </row>
    <row r="260" spans="1:69" x14ac:dyDescent="0.2">
      <c r="A260" s="153"/>
      <c r="B260" s="153"/>
      <c r="C260" s="153"/>
      <c r="D260" s="153"/>
      <c r="E260" s="153"/>
      <c r="F260" s="153"/>
      <c r="G260" s="153"/>
      <c r="H260" s="153"/>
      <c r="I260" s="153"/>
      <c r="J260" s="153"/>
      <c r="K260" s="153"/>
      <c r="L260" s="153"/>
      <c r="M260" s="153"/>
      <c r="N260" s="153"/>
      <c r="O260" s="153"/>
      <c r="P260" s="153"/>
      <c r="Q260" s="153"/>
      <c r="R260" s="153"/>
      <c r="S260" s="153"/>
      <c r="T260" s="153"/>
      <c r="U260" s="153"/>
      <c r="V260" s="153"/>
      <c r="W260" s="153"/>
      <c r="X260" s="153"/>
      <c r="Y260" s="153"/>
      <c r="Z260" s="153"/>
      <c r="AA260" s="153"/>
      <c r="AB260" s="153"/>
      <c r="AC260" s="153"/>
      <c r="AD260" s="153"/>
      <c r="AE260" s="153"/>
      <c r="AF260" s="153"/>
      <c r="AG260" s="153"/>
      <c r="AH260" s="153"/>
      <c r="AI260" s="153"/>
      <c r="AJ260" s="153"/>
      <c r="AK260" s="153"/>
      <c r="AL260" s="153"/>
      <c r="AM260" s="153"/>
      <c r="AN260" s="153"/>
      <c r="AO260" s="153"/>
      <c r="AP260" s="153"/>
      <c r="AQ260" s="153"/>
      <c r="AR260" s="153"/>
      <c r="AS260" s="153"/>
      <c r="AT260" s="153"/>
      <c r="AU260" s="153"/>
      <c r="AV260" s="153"/>
      <c r="AW260" s="153"/>
      <c r="AX260" s="153"/>
      <c r="AY260" s="153"/>
      <c r="AZ260" s="153"/>
      <c r="BA260" s="153"/>
      <c r="BB260" s="153"/>
      <c r="BC260" s="153"/>
      <c r="BD260" s="153"/>
      <c r="BE260" s="153"/>
      <c r="BF260" s="153"/>
      <c r="BG260" s="153"/>
      <c r="BH260" s="153"/>
      <c r="BI260" s="153"/>
      <c r="BJ260" s="153"/>
      <c r="BK260" s="153"/>
      <c r="BL260" s="153"/>
      <c r="BM260" s="153"/>
      <c r="BN260" s="153"/>
      <c r="BO260" s="153"/>
      <c r="BP260" s="153"/>
      <c r="BQ260" s="153"/>
    </row>
    <row r="261" spans="1:69" x14ac:dyDescent="0.2">
      <c r="A261" s="153"/>
      <c r="B261" s="153"/>
      <c r="C261" s="153"/>
      <c r="D261" s="153"/>
      <c r="E261" s="153"/>
      <c r="F261" s="153"/>
      <c r="G261" s="153"/>
      <c r="H261" s="153"/>
      <c r="I261" s="153"/>
      <c r="J261" s="153"/>
      <c r="K261" s="153"/>
      <c r="L261" s="153"/>
      <c r="M261" s="153"/>
      <c r="N261" s="153"/>
      <c r="O261" s="153"/>
      <c r="P261" s="153"/>
      <c r="Q261" s="153"/>
      <c r="R261" s="153"/>
      <c r="S261" s="153"/>
      <c r="T261" s="153"/>
      <c r="U261" s="153"/>
      <c r="V261" s="153"/>
      <c r="W261" s="153"/>
      <c r="X261" s="153"/>
      <c r="Y261" s="153"/>
      <c r="Z261" s="153"/>
      <c r="AA261" s="153"/>
      <c r="AB261" s="153"/>
      <c r="AC261" s="153"/>
      <c r="AD261" s="153"/>
      <c r="AE261" s="153"/>
      <c r="AF261" s="153"/>
      <c r="AG261" s="153"/>
      <c r="AH261" s="153"/>
      <c r="AI261" s="153"/>
      <c r="AJ261" s="153"/>
      <c r="AK261" s="153"/>
      <c r="AL261" s="153"/>
      <c r="AM261" s="153"/>
      <c r="AN261" s="153"/>
      <c r="AO261" s="153"/>
      <c r="AP261" s="153"/>
      <c r="AQ261" s="153"/>
      <c r="AR261" s="153"/>
      <c r="AS261" s="153"/>
      <c r="AT261" s="153"/>
      <c r="AU261" s="153"/>
      <c r="AV261" s="153"/>
      <c r="AW261" s="153"/>
      <c r="AX261" s="153"/>
      <c r="AY261" s="153"/>
      <c r="AZ261" s="153"/>
      <c r="BA261" s="153"/>
      <c r="BB261" s="153"/>
      <c r="BC261" s="153"/>
      <c r="BD261" s="153"/>
      <c r="BE261" s="153"/>
      <c r="BF261" s="153"/>
      <c r="BG261" s="153"/>
      <c r="BH261" s="153"/>
      <c r="BI261" s="153"/>
      <c r="BJ261" s="153"/>
      <c r="BK261" s="153"/>
      <c r="BL261" s="153"/>
      <c r="BM261" s="153"/>
      <c r="BN261" s="153"/>
      <c r="BO261" s="153"/>
      <c r="BP261" s="153"/>
      <c r="BQ261" s="153"/>
    </row>
    <row r="262" spans="1:69" x14ac:dyDescent="0.2">
      <c r="A262" s="153"/>
      <c r="B262" s="153"/>
      <c r="C262" s="153"/>
      <c r="D262" s="153"/>
      <c r="E262" s="153"/>
      <c r="F262" s="153"/>
      <c r="G262" s="153"/>
      <c r="H262" s="153"/>
      <c r="I262" s="153"/>
      <c r="J262" s="153"/>
      <c r="K262" s="153"/>
      <c r="L262" s="153"/>
      <c r="M262" s="153"/>
      <c r="N262" s="153"/>
      <c r="O262" s="153"/>
      <c r="P262" s="153"/>
      <c r="Q262" s="153"/>
      <c r="R262" s="153"/>
      <c r="S262" s="153"/>
      <c r="T262" s="153"/>
      <c r="U262" s="153"/>
      <c r="V262" s="153"/>
      <c r="W262" s="153"/>
      <c r="X262" s="153"/>
      <c r="Y262" s="153"/>
      <c r="Z262" s="153"/>
      <c r="AA262" s="153"/>
      <c r="AB262" s="153"/>
      <c r="AC262" s="153"/>
      <c r="AD262" s="153"/>
      <c r="AE262" s="153"/>
      <c r="AF262" s="153"/>
      <c r="AG262" s="153"/>
      <c r="AH262" s="153"/>
      <c r="AI262" s="153"/>
      <c r="AJ262" s="153"/>
      <c r="AK262" s="153"/>
      <c r="AL262" s="153"/>
      <c r="AM262" s="153"/>
      <c r="AN262" s="153"/>
      <c r="AO262" s="153"/>
      <c r="AP262" s="153"/>
      <c r="AQ262" s="153"/>
      <c r="AR262" s="153"/>
      <c r="AS262" s="153"/>
      <c r="AT262" s="153"/>
      <c r="AU262" s="153"/>
      <c r="AV262" s="153"/>
      <c r="AW262" s="153"/>
      <c r="AX262" s="153"/>
      <c r="AY262" s="153"/>
      <c r="AZ262" s="153"/>
      <c r="BA262" s="153"/>
      <c r="BB262" s="153"/>
      <c r="BC262" s="153"/>
      <c r="BD262" s="153"/>
      <c r="BE262" s="153"/>
      <c r="BF262" s="153"/>
      <c r="BG262" s="153"/>
      <c r="BH262" s="153"/>
      <c r="BI262" s="153"/>
      <c r="BJ262" s="153"/>
      <c r="BK262" s="153"/>
      <c r="BL262" s="153"/>
      <c r="BM262" s="153"/>
      <c r="BN262" s="153"/>
      <c r="BO262" s="153"/>
      <c r="BP262" s="153"/>
      <c r="BQ262" s="153"/>
    </row>
    <row r="263" spans="1:69" x14ac:dyDescent="0.2">
      <c r="A263" s="153"/>
      <c r="B263" s="153"/>
      <c r="C263" s="153"/>
      <c r="D263" s="153"/>
      <c r="E263" s="153"/>
      <c r="F263" s="153"/>
      <c r="G263" s="153"/>
      <c r="H263" s="153"/>
      <c r="I263" s="153"/>
      <c r="J263" s="153"/>
      <c r="K263" s="153"/>
      <c r="L263" s="153"/>
      <c r="M263" s="153"/>
      <c r="N263" s="153"/>
      <c r="O263" s="153"/>
      <c r="P263" s="153"/>
      <c r="Q263" s="153"/>
      <c r="R263" s="153"/>
      <c r="S263" s="153"/>
      <c r="T263" s="153"/>
      <c r="U263" s="153"/>
      <c r="V263" s="153"/>
      <c r="W263" s="153"/>
      <c r="X263" s="153"/>
      <c r="Y263" s="153"/>
      <c r="Z263" s="153"/>
      <c r="AA263" s="153"/>
      <c r="AB263" s="153"/>
      <c r="AC263" s="153"/>
      <c r="AD263" s="153"/>
      <c r="AE263" s="153"/>
      <c r="AF263" s="153"/>
      <c r="AG263" s="153"/>
      <c r="AH263" s="153"/>
      <c r="AI263" s="153"/>
      <c r="AJ263" s="153"/>
      <c r="AK263" s="153"/>
      <c r="AL263" s="153"/>
      <c r="AM263" s="153"/>
      <c r="AN263" s="153"/>
      <c r="AO263" s="153"/>
      <c r="AP263" s="153"/>
      <c r="AQ263" s="153"/>
      <c r="AR263" s="153"/>
      <c r="AS263" s="153"/>
      <c r="AT263" s="153"/>
      <c r="AU263" s="153"/>
      <c r="AV263" s="153"/>
      <c r="AW263" s="153"/>
      <c r="AX263" s="153"/>
      <c r="AY263" s="153"/>
      <c r="AZ263" s="153"/>
      <c r="BA263" s="153"/>
      <c r="BB263" s="153"/>
      <c r="BC263" s="153"/>
      <c r="BD263" s="153"/>
      <c r="BE263" s="153"/>
      <c r="BF263" s="153"/>
      <c r="BG263" s="153"/>
      <c r="BH263" s="153"/>
      <c r="BI263" s="153"/>
      <c r="BJ263" s="153"/>
      <c r="BK263" s="153"/>
      <c r="BL263" s="153"/>
      <c r="BM263" s="153"/>
      <c r="BN263" s="153"/>
      <c r="BO263" s="153"/>
      <c r="BP263" s="153"/>
      <c r="BQ263" s="153"/>
    </row>
    <row r="264" spans="1:69" x14ac:dyDescent="0.2">
      <c r="A264" s="153"/>
      <c r="B264" s="153"/>
      <c r="C264" s="153"/>
      <c r="D264" s="153"/>
      <c r="E264" s="153"/>
      <c r="F264" s="153"/>
      <c r="G264" s="153"/>
      <c r="H264" s="153"/>
      <c r="I264" s="153"/>
      <c r="J264" s="153"/>
      <c r="K264" s="153"/>
      <c r="L264" s="153"/>
      <c r="M264" s="153"/>
      <c r="N264" s="153"/>
      <c r="O264" s="153"/>
      <c r="P264" s="153"/>
      <c r="Q264" s="153"/>
      <c r="R264" s="153"/>
      <c r="S264" s="153"/>
      <c r="T264" s="153"/>
      <c r="U264" s="153"/>
      <c r="V264" s="153"/>
      <c r="W264" s="153"/>
      <c r="X264" s="153"/>
      <c r="Y264" s="153"/>
      <c r="Z264" s="153"/>
      <c r="AA264" s="153"/>
      <c r="AB264" s="153"/>
      <c r="AC264" s="153"/>
      <c r="AD264" s="153"/>
      <c r="AE264" s="153"/>
      <c r="AF264" s="153"/>
      <c r="AG264" s="153"/>
      <c r="AH264" s="153"/>
      <c r="AI264" s="153"/>
      <c r="AJ264" s="153"/>
      <c r="AK264" s="153"/>
      <c r="AL264" s="153"/>
      <c r="AM264" s="153"/>
      <c r="AN264" s="153"/>
      <c r="AO264" s="153"/>
      <c r="AP264" s="153"/>
      <c r="AQ264" s="153"/>
      <c r="AR264" s="153"/>
      <c r="AS264" s="153"/>
      <c r="AT264" s="153"/>
      <c r="AU264" s="153"/>
      <c r="AV264" s="153"/>
      <c r="AW264" s="153"/>
      <c r="AX264" s="153"/>
      <c r="AY264" s="153"/>
      <c r="AZ264" s="153"/>
      <c r="BA264" s="153"/>
      <c r="BB264" s="153"/>
      <c r="BC264" s="153"/>
      <c r="BD264" s="153"/>
      <c r="BE264" s="153"/>
      <c r="BF264" s="153"/>
      <c r="BG264" s="153"/>
      <c r="BH264" s="153"/>
      <c r="BI264" s="153"/>
      <c r="BJ264" s="153"/>
      <c r="BK264" s="153"/>
      <c r="BL264" s="153"/>
      <c r="BM264" s="153"/>
      <c r="BN264" s="153"/>
      <c r="BO264" s="153"/>
      <c r="BP264" s="153"/>
      <c r="BQ264" s="153"/>
    </row>
    <row r="265" spans="1:69" x14ac:dyDescent="0.2">
      <c r="A265" s="153"/>
      <c r="B265" s="153"/>
      <c r="C265" s="153"/>
      <c r="D265" s="153"/>
      <c r="E265" s="153"/>
      <c r="F265" s="153"/>
      <c r="G265" s="153"/>
      <c r="H265" s="153"/>
      <c r="I265" s="153"/>
      <c r="J265" s="153"/>
      <c r="K265" s="153"/>
      <c r="L265" s="153"/>
      <c r="M265" s="153"/>
      <c r="N265" s="153"/>
      <c r="O265" s="153"/>
      <c r="P265" s="153"/>
      <c r="Q265" s="153"/>
      <c r="R265" s="153"/>
      <c r="S265" s="153"/>
      <c r="T265" s="153"/>
      <c r="U265" s="153"/>
      <c r="V265" s="153"/>
      <c r="W265" s="153"/>
      <c r="X265" s="153"/>
      <c r="Y265" s="153"/>
      <c r="Z265" s="153"/>
      <c r="AA265" s="153"/>
      <c r="AB265" s="153"/>
      <c r="AC265" s="153"/>
      <c r="AD265" s="153"/>
      <c r="AE265" s="153"/>
      <c r="AF265" s="153"/>
      <c r="AG265" s="153"/>
      <c r="AH265" s="153"/>
      <c r="AI265" s="153"/>
      <c r="AJ265" s="153"/>
      <c r="AK265" s="153"/>
      <c r="AL265" s="153"/>
      <c r="AM265" s="153"/>
      <c r="AN265" s="153"/>
      <c r="AO265" s="153"/>
      <c r="AP265" s="153"/>
      <c r="AQ265" s="153"/>
      <c r="AR265" s="153"/>
      <c r="AS265" s="153"/>
      <c r="AT265" s="153"/>
      <c r="AU265" s="153"/>
      <c r="AV265" s="153"/>
      <c r="AW265" s="153"/>
      <c r="AX265" s="153"/>
      <c r="AY265" s="153"/>
      <c r="AZ265" s="153"/>
      <c r="BA265" s="153"/>
      <c r="BB265" s="153"/>
      <c r="BC265" s="153"/>
      <c r="BD265" s="153"/>
      <c r="BE265" s="153"/>
      <c r="BF265" s="153"/>
      <c r="BG265" s="153"/>
      <c r="BH265" s="153"/>
      <c r="BI265" s="153"/>
      <c r="BJ265" s="153"/>
      <c r="BK265" s="153"/>
      <c r="BL265" s="153"/>
      <c r="BM265" s="153"/>
      <c r="BN265" s="153"/>
      <c r="BO265" s="153"/>
      <c r="BP265" s="153"/>
      <c r="BQ265" s="153"/>
    </row>
    <row r="266" spans="1:69" x14ac:dyDescent="0.2">
      <c r="A266" s="153"/>
      <c r="B266" s="153"/>
      <c r="C266" s="153"/>
      <c r="D266" s="153"/>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c r="AA266" s="153"/>
      <c r="AB266" s="153"/>
      <c r="AC266" s="153"/>
      <c r="AD266" s="153"/>
      <c r="AE266" s="153"/>
      <c r="AF266" s="153"/>
      <c r="AG266" s="153"/>
      <c r="AH266" s="153"/>
      <c r="AI266" s="153"/>
      <c r="AJ266" s="153"/>
      <c r="AK266" s="153"/>
      <c r="AL266" s="153"/>
      <c r="AM266" s="153"/>
      <c r="AN266" s="153"/>
      <c r="AO266" s="153"/>
      <c r="AP266" s="153"/>
      <c r="AQ266" s="153"/>
      <c r="AR266" s="153"/>
      <c r="AS266" s="153"/>
      <c r="AT266" s="153"/>
      <c r="AU266" s="153"/>
      <c r="AV266" s="153"/>
      <c r="AW266" s="153"/>
      <c r="AX266" s="153"/>
      <c r="AY266" s="153"/>
      <c r="AZ266" s="153"/>
      <c r="BA266" s="153"/>
      <c r="BB266" s="153"/>
      <c r="BC266" s="153"/>
      <c r="BD266" s="153"/>
      <c r="BE266" s="153"/>
      <c r="BF266" s="153"/>
      <c r="BG266" s="153"/>
      <c r="BH266" s="153"/>
      <c r="BI266" s="153"/>
      <c r="BJ266" s="153"/>
      <c r="BK266" s="153"/>
      <c r="BL266" s="153"/>
      <c r="BM266" s="153"/>
      <c r="BN266" s="153"/>
      <c r="BO266" s="153"/>
      <c r="BP266" s="153"/>
      <c r="BQ266" s="153"/>
    </row>
    <row r="267" spans="1:69" x14ac:dyDescent="0.2">
      <c r="A267" s="153"/>
      <c r="B267" s="153"/>
      <c r="C267" s="153"/>
      <c r="D267" s="153"/>
      <c r="E267" s="153"/>
      <c r="F267" s="153"/>
      <c r="G267" s="153"/>
      <c r="H267" s="153"/>
      <c r="I267" s="153"/>
      <c r="J267" s="153"/>
      <c r="K267" s="153"/>
      <c r="L267" s="153"/>
      <c r="M267" s="153"/>
      <c r="N267" s="153"/>
      <c r="O267" s="153"/>
      <c r="P267" s="153"/>
      <c r="Q267" s="153"/>
      <c r="R267" s="153"/>
      <c r="S267" s="153"/>
      <c r="T267" s="153"/>
      <c r="U267" s="153"/>
      <c r="V267" s="153"/>
      <c r="W267" s="153"/>
      <c r="X267" s="153"/>
      <c r="Y267" s="153"/>
      <c r="Z267" s="153"/>
      <c r="AA267" s="153"/>
      <c r="AB267" s="153"/>
      <c r="AC267" s="153"/>
      <c r="AD267" s="153"/>
      <c r="AE267" s="153"/>
      <c r="AF267" s="153"/>
      <c r="AG267" s="153"/>
      <c r="AH267" s="153"/>
      <c r="AI267" s="153"/>
      <c r="AJ267" s="153"/>
      <c r="AK267" s="153"/>
      <c r="AL267" s="153"/>
      <c r="AM267" s="153"/>
      <c r="AN267" s="153"/>
      <c r="AO267" s="153"/>
      <c r="AP267" s="153"/>
      <c r="AQ267" s="153"/>
      <c r="AR267" s="153"/>
      <c r="AS267" s="153"/>
      <c r="AT267" s="153"/>
      <c r="AU267" s="153"/>
      <c r="AV267" s="153"/>
      <c r="AW267" s="153"/>
      <c r="AX267" s="153"/>
      <c r="AY267" s="153"/>
      <c r="AZ267" s="153"/>
      <c r="BA267" s="153"/>
      <c r="BB267" s="153"/>
      <c r="BC267" s="153"/>
      <c r="BD267" s="153"/>
      <c r="BE267" s="153"/>
      <c r="BF267" s="153"/>
      <c r="BG267" s="153"/>
      <c r="BH267" s="153"/>
      <c r="BI267" s="153"/>
      <c r="BJ267" s="153"/>
      <c r="BK267" s="153"/>
      <c r="BL267" s="153"/>
      <c r="BM267" s="153"/>
      <c r="BN267" s="153"/>
      <c r="BO267" s="153"/>
      <c r="BP267" s="153"/>
      <c r="BQ267" s="153"/>
    </row>
    <row r="268" spans="1:69" x14ac:dyDescent="0.2">
      <c r="A268" s="153"/>
      <c r="B268" s="153"/>
      <c r="C268" s="153"/>
      <c r="D268" s="153"/>
      <c r="E268" s="153"/>
      <c r="F268" s="153"/>
      <c r="G268" s="153"/>
      <c r="H268" s="153"/>
      <c r="I268" s="153"/>
      <c r="J268" s="153"/>
      <c r="K268" s="153"/>
      <c r="L268" s="153"/>
      <c r="M268" s="153"/>
      <c r="N268" s="153"/>
      <c r="O268" s="153"/>
      <c r="P268" s="153"/>
      <c r="Q268" s="153"/>
      <c r="R268" s="153"/>
      <c r="S268" s="153"/>
      <c r="T268" s="153"/>
      <c r="U268" s="153"/>
      <c r="V268" s="153"/>
      <c r="W268" s="153"/>
      <c r="X268" s="153"/>
      <c r="Y268" s="153"/>
      <c r="Z268" s="153"/>
      <c r="AA268" s="153"/>
      <c r="AB268" s="153"/>
      <c r="AC268" s="153"/>
      <c r="AD268" s="153"/>
      <c r="AE268" s="153"/>
      <c r="AF268" s="153"/>
      <c r="AG268" s="153"/>
      <c r="AH268" s="153"/>
      <c r="AI268" s="153"/>
      <c r="AJ268" s="153"/>
      <c r="AK268" s="153"/>
      <c r="AL268" s="153"/>
      <c r="AM268" s="153"/>
      <c r="AN268" s="153"/>
      <c r="AO268" s="153"/>
      <c r="AP268" s="153"/>
      <c r="AQ268" s="153"/>
      <c r="AR268" s="153"/>
      <c r="AS268" s="153"/>
      <c r="AT268" s="153"/>
      <c r="AU268" s="153"/>
      <c r="AV268" s="153"/>
      <c r="AW268" s="153"/>
      <c r="AX268" s="153"/>
      <c r="AY268" s="153"/>
      <c r="AZ268" s="153"/>
      <c r="BA268" s="153"/>
      <c r="BB268" s="153"/>
      <c r="BC268" s="153"/>
      <c r="BD268" s="153"/>
      <c r="BE268" s="153"/>
      <c r="BF268" s="153"/>
      <c r="BG268" s="153"/>
      <c r="BH268" s="153"/>
      <c r="BI268" s="153"/>
      <c r="BJ268" s="153"/>
      <c r="BK268" s="153"/>
      <c r="BL268" s="153"/>
      <c r="BM268" s="153"/>
      <c r="BN268" s="153"/>
      <c r="BO268" s="153"/>
      <c r="BP268" s="153"/>
      <c r="BQ268" s="153"/>
    </row>
    <row r="269" spans="1:69" x14ac:dyDescent="0.2">
      <c r="A269" s="153"/>
      <c r="B269" s="153"/>
      <c r="C269" s="153"/>
      <c r="D269" s="153"/>
      <c r="E269" s="153"/>
      <c r="F269" s="153"/>
      <c r="G269" s="153"/>
      <c r="H269" s="153"/>
      <c r="I269" s="153"/>
      <c r="J269" s="153"/>
      <c r="K269" s="153"/>
      <c r="L269" s="153"/>
      <c r="M269" s="153"/>
      <c r="N269" s="153"/>
      <c r="O269" s="153"/>
      <c r="P269" s="153"/>
      <c r="Q269" s="153"/>
      <c r="R269" s="153"/>
      <c r="S269" s="153"/>
      <c r="T269" s="153"/>
      <c r="U269" s="153"/>
      <c r="V269" s="153"/>
      <c r="W269" s="153"/>
      <c r="X269" s="153"/>
      <c r="Y269" s="153"/>
      <c r="Z269" s="153"/>
      <c r="AA269" s="153"/>
      <c r="AB269" s="153"/>
      <c r="AC269" s="153"/>
      <c r="AD269" s="153"/>
      <c r="AE269" s="153"/>
      <c r="AF269" s="153"/>
      <c r="AG269" s="153"/>
      <c r="AH269" s="153"/>
      <c r="AI269" s="153"/>
      <c r="AJ269" s="153"/>
      <c r="AK269" s="153"/>
      <c r="AL269" s="153"/>
      <c r="AM269" s="153"/>
      <c r="AN269" s="153"/>
      <c r="AO269" s="153"/>
      <c r="AP269" s="153"/>
      <c r="AQ269" s="153"/>
      <c r="AR269" s="153"/>
      <c r="AS269" s="153"/>
      <c r="AT269" s="153"/>
      <c r="AU269" s="153"/>
      <c r="AV269" s="153"/>
      <c r="AW269" s="153"/>
      <c r="AX269" s="153"/>
      <c r="AY269" s="153"/>
      <c r="AZ269" s="153"/>
      <c r="BA269" s="153"/>
      <c r="BB269" s="153"/>
      <c r="BC269" s="153"/>
      <c r="BD269" s="153"/>
      <c r="BE269" s="153"/>
      <c r="BF269" s="153"/>
      <c r="BG269" s="153"/>
      <c r="BH269" s="153"/>
      <c r="BI269" s="153"/>
      <c r="BJ269" s="153"/>
      <c r="BK269" s="153"/>
      <c r="BL269" s="153"/>
      <c r="BM269" s="153"/>
      <c r="BN269" s="153"/>
      <c r="BO269" s="153"/>
      <c r="BP269" s="153"/>
      <c r="BQ269" s="153"/>
    </row>
    <row r="270" spans="1:69" x14ac:dyDescent="0.2">
      <c r="A270" s="153"/>
      <c r="B270" s="153"/>
      <c r="C270" s="153"/>
      <c r="D270" s="153"/>
      <c r="E270" s="153"/>
      <c r="F270" s="153"/>
      <c r="G270" s="153"/>
      <c r="H270" s="153"/>
      <c r="I270" s="153"/>
      <c r="J270" s="153"/>
      <c r="K270" s="153"/>
      <c r="L270" s="153"/>
      <c r="M270" s="153"/>
      <c r="N270" s="153"/>
      <c r="O270" s="153"/>
      <c r="P270" s="153"/>
      <c r="Q270" s="153"/>
      <c r="R270" s="153"/>
      <c r="S270" s="153"/>
      <c r="T270" s="153"/>
      <c r="U270" s="153"/>
      <c r="V270" s="153"/>
      <c r="W270" s="153"/>
      <c r="X270" s="153"/>
      <c r="Y270" s="153"/>
      <c r="Z270" s="153"/>
      <c r="AA270" s="153"/>
      <c r="AB270" s="153"/>
      <c r="AC270" s="153"/>
      <c r="AD270" s="153"/>
      <c r="AE270" s="153"/>
      <c r="AF270" s="153"/>
      <c r="AG270" s="153"/>
      <c r="AH270" s="153"/>
      <c r="AI270" s="153"/>
      <c r="AJ270" s="153"/>
      <c r="AK270" s="153"/>
      <c r="AL270" s="153"/>
      <c r="AM270" s="153"/>
      <c r="AN270" s="153"/>
      <c r="AO270" s="153"/>
      <c r="AP270" s="153"/>
      <c r="AQ270" s="153"/>
      <c r="AR270" s="153"/>
      <c r="AS270" s="153"/>
      <c r="AT270" s="153"/>
      <c r="AU270" s="153"/>
      <c r="AV270" s="153"/>
      <c r="AW270" s="153"/>
      <c r="AX270" s="153"/>
      <c r="AY270" s="153"/>
      <c r="AZ270" s="153"/>
      <c r="BA270" s="153"/>
      <c r="BB270" s="153"/>
      <c r="BC270" s="153"/>
      <c r="BD270" s="153"/>
      <c r="BE270" s="153"/>
      <c r="BF270" s="153"/>
      <c r="BG270" s="153"/>
      <c r="BH270" s="153"/>
      <c r="BI270" s="153"/>
      <c r="BJ270" s="153"/>
      <c r="BK270" s="153"/>
      <c r="BL270" s="153"/>
      <c r="BM270" s="153"/>
      <c r="BN270" s="153"/>
      <c r="BO270" s="153"/>
      <c r="BP270" s="153"/>
      <c r="BQ270" s="153"/>
    </row>
    <row r="271" spans="1:69" x14ac:dyDescent="0.2">
      <c r="A271" s="153"/>
      <c r="B271" s="153"/>
      <c r="C271" s="153"/>
      <c r="D271" s="153"/>
      <c r="E271" s="153"/>
      <c r="F271" s="153"/>
      <c r="G271" s="153"/>
      <c r="H271" s="153"/>
      <c r="I271" s="153"/>
      <c r="J271" s="153"/>
      <c r="K271" s="153"/>
      <c r="L271" s="153"/>
      <c r="M271" s="153"/>
      <c r="N271" s="153"/>
      <c r="O271" s="153"/>
      <c r="P271" s="153"/>
      <c r="Q271" s="153"/>
      <c r="R271" s="153"/>
      <c r="S271" s="153"/>
      <c r="T271" s="153"/>
      <c r="U271" s="153"/>
      <c r="V271" s="153"/>
      <c r="W271" s="153"/>
      <c r="X271" s="153"/>
      <c r="Y271" s="153"/>
      <c r="Z271" s="153"/>
      <c r="AA271" s="153"/>
      <c r="AB271" s="153"/>
      <c r="AC271" s="153"/>
      <c r="AD271" s="153"/>
      <c r="AE271" s="153"/>
      <c r="AF271" s="153"/>
      <c r="AG271" s="153"/>
      <c r="AH271" s="153"/>
      <c r="AI271" s="153"/>
      <c r="AJ271" s="153"/>
      <c r="AK271" s="153"/>
      <c r="AL271" s="153"/>
      <c r="AM271" s="153"/>
      <c r="AN271" s="153"/>
      <c r="AO271" s="153"/>
      <c r="AP271" s="153"/>
      <c r="AQ271" s="153"/>
      <c r="AR271" s="153"/>
      <c r="AS271" s="153"/>
      <c r="AT271" s="153"/>
      <c r="AU271" s="153"/>
      <c r="AV271" s="153"/>
      <c r="AW271" s="153"/>
      <c r="AX271" s="153"/>
      <c r="AY271" s="153"/>
      <c r="AZ271" s="153"/>
      <c r="BA271" s="153"/>
      <c r="BB271" s="153"/>
      <c r="BC271" s="153"/>
      <c r="BD271" s="153"/>
      <c r="BE271" s="153"/>
      <c r="BF271" s="153"/>
      <c r="BG271" s="153"/>
      <c r="BH271" s="153"/>
      <c r="BI271" s="153"/>
      <c r="BJ271" s="153"/>
      <c r="BK271" s="153"/>
      <c r="BL271" s="153"/>
      <c r="BM271" s="153"/>
      <c r="BN271" s="153"/>
      <c r="BO271" s="153"/>
      <c r="BP271" s="153"/>
      <c r="BQ271" s="153"/>
    </row>
    <row r="272" spans="1:69" x14ac:dyDescent="0.2">
      <c r="A272" s="153"/>
      <c r="B272" s="153"/>
      <c r="C272" s="153"/>
      <c r="D272" s="153"/>
      <c r="E272" s="153"/>
      <c r="F272" s="153"/>
      <c r="G272" s="153"/>
      <c r="H272" s="153"/>
      <c r="I272" s="153"/>
      <c r="J272" s="153"/>
      <c r="K272" s="153"/>
      <c r="L272" s="153"/>
      <c r="M272" s="153"/>
      <c r="N272" s="153"/>
      <c r="O272" s="153"/>
      <c r="P272" s="153"/>
      <c r="Q272" s="153"/>
      <c r="R272" s="153"/>
      <c r="S272" s="153"/>
      <c r="T272" s="153"/>
      <c r="U272" s="153"/>
      <c r="V272" s="153"/>
      <c r="W272" s="153"/>
      <c r="X272" s="153"/>
      <c r="Y272" s="153"/>
      <c r="Z272" s="153"/>
      <c r="AA272" s="153"/>
      <c r="AB272" s="153"/>
      <c r="AC272" s="153"/>
      <c r="AD272" s="153"/>
      <c r="AE272" s="153"/>
      <c r="AF272" s="153"/>
      <c r="AG272" s="153"/>
      <c r="AH272" s="153"/>
      <c r="AI272" s="153"/>
      <c r="AJ272" s="153"/>
      <c r="AK272" s="153"/>
      <c r="AL272" s="153"/>
      <c r="AM272" s="153"/>
      <c r="AN272" s="153"/>
      <c r="AO272" s="153"/>
      <c r="AP272" s="153"/>
      <c r="AQ272" s="153"/>
      <c r="AR272" s="153"/>
      <c r="AS272" s="153"/>
      <c r="AT272" s="153"/>
      <c r="AU272" s="153"/>
      <c r="AV272" s="153"/>
      <c r="AW272" s="153"/>
      <c r="AX272" s="153"/>
      <c r="AY272" s="153"/>
      <c r="AZ272" s="153"/>
      <c r="BA272" s="153"/>
      <c r="BB272" s="153"/>
      <c r="BC272" s="153"/>
      <c r="BD272" s="153"/>
      <c r="BE272" s="153"/>
      <c r="BF272" s="153"/>
      <c r="BG272" s="153"/>
      <c r="BH272" s="153"/>
      <c r="BI272" s="153"/>
      <c r="BJ272" s="153"/>
      <c r="BK272" s="153"/>
      <c r="BL272" s="153"/>
      <c r="BM272" s="153"/>
      <c r="BN272" s="153"/>
      <c r="BO272" s="153"/>
      <c r="BP272" s="153"/>
      <c r="BQ272" s="153"/>
    </row>
    <row r="273" spans="1:69" x14ac:dyDescent="0.2">
      <c r="A273" s="153"/>
      <c r="B273" s="153"/>
      <c r="C273" s="153"/>
      <c r="D273" s="153"/>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c r="AA273" s="153"/>
      <c r="AB273" s="153"/>
      <c r="AC273" s="153"/>
      <c r="AD273" s="153"/>
      <c r="AE273" s="153"/>
      <c r="AF273" s="153"/>
      <c r="AG273" s="153"/>
      <c r="AH273" s="153"/>
      <c r="AI273" s="153"/>
      <c r="AJ273" s="153"/>
      <c r="AK273" s="153"/>
      <c r="AL273" s="153"/>
      <c r="AM273" s="153"/>
      <c r="AN273" s="153"/>
      <c r="AO273" s="153"/>
      <c r="AP273" s="153"/>
      <c r="AQ273" s="153"/>
      <c r="AR273" s="153"/>
      <c r="AS273" s="153"/>
      <c r="AT273" s="153"/>
      <c r="AU273" s="153"/>
      <c r="AV273" s="153"/>
      <c r="AW273" s="153"/>
      <c r="AX273" s="153"/>
      <c r="AY273" s="153"/>
      <c r="AZ273" s="153"/>
      <c r="BA273" s="153"/>
      <c r="BB273" s="153"/>
      <c r="BC273" s="153"/>
      <c r="BD273" s="153"/>
      <c r="BE273" s="153"/>
      <c r="BF273" s="153"/>
      <c r="BG273" s="153"/>
      <c r="BH273" s="153"/>
      <c r="BI273" s="153"/>
      <c r="BJ273" s="153"/>
      <c r="BK273" s="153"/>
      <c r="BL273" s="153"/>
      <c r="BM273" s="153"/>
      <c r="BN273" s="153"/>
      <c r="BO273" s="153"/>
      <c r="BP273" s="153"/>
      <c r="BQ273" s="153"/>
    </row>
    <row r="274" spans="1:69" x14ac:dyDescent="0.2">
      <c r="A274" s="153"/>
      <c r="B274" s="153"/>
      <c r="C274" s="153"/>
      <c r="D274" s="153"/>
      <c r="E274" s="153"/>
      <c r="F274" s="153"/>
      <c r="G274" s="153"/>
      <c r="H274" s="153"/>
      <c r="I274" s="153"/>
      <c r="J274" s="153"/>
      <c r="K274" s="153"/>
      <c r="L274" s="153"/>
      <c r="M274" s="153"/>
      <c r="N274" s="153"/>
      <c r="O274" s="153"/>
      <c r="P274" s="153"/>
      <c r="Q274" s="153"/>
      <c r="R274" s="153"/>
      <c r="S274" s="153"/>
      <c r="T274" s="153"/>
      <c r="U274" s="153"/>
      <c r="V274" s="153"/>
      <c r="W274" s="153"/>
      <c r="X274" s="153"/>
      <c r="Y274" s="153"/>
      <c r="Z274" s="153"/>
      <c r="AA274" s="153"/>
      <c r="AB274" s="153"/>
      <c r="AC274" s="153"/>
      <c r="AD274" s="153"/>
      <c r="AE274" s="153"/>
      <c r="AF274" s="153"/>
      <c r="AG274" s="153"/>
      <c r="AH274" s="153"/>
      <c r="AI274" s="153"/>
      <c r="AJ274" s="153"/>
      <c r="AK274" s="153"/>
      <c r="AL274" s="153"/>
      <c r="AM274" s="153"/>
      <c r="AN274" s="153"/>
      <c r="AO274" s="153"/>
      <c r="AP274" s="153"/>
      <c r="AQ274" s="153"/>
      <c r="AR274" s="153"/>
      <c r="AS274" s="153"/>
      <c r="AT274" s="153"/>
      <c r="AU274" s="153"/>
      <c r="AV274" s="153"/>
      <c r="AW274" s="153"/>
      <c r="AX274" s="153"/>
      <c r="AY274" s="153"/>
      <c r="AZ274" s="153"/>
      <c r="BA274" s="153"/>
      <c r="BB274" s="153"/>
      <c r="BC274" s="153"/>
      <c r="BD274" s="153"/>
      <c r="BE274" s="153"/>
      <c r="BF274" s="153"/>
      <c r="BG274" s="153"/>
      <c r="BH274" s="153"/>
      <c r="BI274" s="153"/>
      <c r="BJ274" s="153"/>
      <c r="BK274" s="153"/>
      <c r="BL274" s="153"/>
      <c r="BM274" s="153"/>
      <c r="BN274" s="153"/>
      <c r="BO274" s="153"/>
      <c r="BP274" s="153"/>
      <c r="BQ274" s="153"/>
    </row>
    <row r="275" spans="1:69" x14ac:dyDescent="0.2">
      <c r="A275" s="153"/>
      <c r="B275" s="153"/>
      <c r="C275" s="153"/>
      <c r="D275" s="153"/>
      <c r="E275" s="153"/>
      <c r="F275" s="153"/>
      <c r="G275" s="153"/>
      <c r="H275" s="153"/>
      <c r="I275" s="153"/>
      <c r="J275" s="153"/>
      <c r="K275" s="153"/>
      <c r="L275" s="153"/>
      <c r="M275" s="153"/>
      <c r="N275" s="153"/>
      <c r="O275" s="153"/>
      <c r="P275" s="153"/>
      <c r="Q275" s="153"/>
      <c r="R275" s="153"/>
      <c r="S275" s="153"/>
      <c r="T275" s="153"/>
      <c r="U275" s="153"/>
      <c r="V275" s="153"/>
      <c r="W275" s="153"/>
      <c r="X275" s="153"/>
      <c r="Y275" s="153"/>
      <c r="Z275" s="153"/>
      <c r="AA275" s="153"/>
      <c r="AB275" s="153"/>
      <c r="AC275" s="153"/>
      <c r="AD275" s="153"/>
      <c r="AE275" s="153"/>
      <c r="AF275" s="153"/>
      <c r="AG275" s="153"/>
      <c r="AH275" s="153"/>
      <c r="AI275" s="153"/>
      <c r="AJ275" s="153"/>
      <c r="AK275" s="153"/>
      <c r="AL275" s="153"/>
      <c r="AM275" s="153"/>
      <c r="AN275" s="153"/>
      <c r="AO275" s="153"/>
      <c r="AP275" s="153"/>
      <c r="AQ275" s="153"/>
      <c r="AR275" s="153"/>
      <c r="AS275" s="153"/>
      <c r="AT275" s="153"/>
      <c r="AU275" s="153"/>
      <c r="AV275" s="153"/>
      <c r="AW275" s="153"/>
      <c r="AX275" s="153"/>
      <c r="AY275" s="153"/>
      <c r="AZ275" s="153"/>
      <c r="BA275" s="153"/>
      <c r="BB275" s="153"/>
      <c r="BC275" s="153"/>
      <c r="BD275" s="153"/>
      <c r="BE275" s="153"/>
      <c r="BF275" s="153"/>
      <c r="BG275" s="153"/>
      <c r="BH275" s="153"/>
      <c r="BI275" s="153"/>
      <c r="BJ275" s="153"/>
      <c r="BK275" s="153"/>
      <c r="BL275" s="153"/>
      <c r="BM275" s="153"/>
      <c r="BN275" s="153"/>
      <c r="BO275" s="153"/>
      <c r="BP275" s="153"/>
      <c r="BQ275" s="153"/>
    </row>
    <row r="276" spans="1:69" x14ac:dyDescent="0.2">
      <c r="A276" s="153"/>
      <c r="B276" s="153"/>
      <c r="C276" s="153"/>
      <c r="D276" s="153"/>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c r="AA276" s="153"/>
      <c r="AB276" s="153"/>
      <c r="AC276" s="153"/>
      <c r="AD276" s="153"/>
      <c r="AE276" s="153"/>
      <c r="AF276" s="153"/>
      <c r="AG276" s="153"/>
      <c r="AH276" s="153"/>
      <c r="AI276" s="153"/>
      <c r="AJ276" s="153"/>
      <c r="AK276" s="153"/>
      <c r="AL276" s="153"/>
      <c r="AM276" s="153"/>
      <c r="AN276" s="153"/>
      <c r="AO276" s="153"/>
      <c r="AP276" s="153"/>
      <c r="AQ276" s="153"/>
      <c r="AR276" s="153"/>
      <c r="AS276" s="153"/>
      <c r="AT276" s="153"/>
      <c r="AU276" s="153"/>
      <c r="AV276" s="153"/>
      <c r="AW276" s="153"/>
      <c r="AX276" s="153"/>
      <c r="AY276" s="153"/>
      <c r="AZ276" s="153"/>
      <c r="BA276" s="153"/>
      <c r="BB276" s="153"/>
      <c r="BC276" s="153"/>
      <c r="BD276" s="153"/>
      <c r="BE276" s="153"/>
      <c r="BF276" s="153"/>
      <c r="BG276" s="153"/>
      <c r="BH276" s="153"/>
      <c r="BI276" s="153"/>
      <c r="BJ276" s="153"/>
      <c r="BK276" s="153"/>
      <c r="BL276" s="153"/>
      <c r="BM276" s="153"/>
      <c r="BN276" s="153"/>
      <c r="BO276" s="153"/>
      <c r="BP276" s="153"/>
      <c r="BQ276" s="153"/>
    </row>
    <row r="277" spans="1:69" x14ac:dyDescent="0.2">
      <c r="A277" s="153"/>
      <c r="B277" s="153"/>
      <c r="C277" s="153"/>
      <c r="D277" s="153"/>
      <c r="E277" s="153"/>
      <c r="F277" s="153"/>
      <c r="G277" s="153"/>
      <c r="H277" s="153"/>
      <c r="I277" s="153"/>
      <c r="J277" s="153"/>
      <c r="K277" s="153"/>
      <c r="L277" s="153"/>
      <c r="M277" s="153"/>
      <c r="N277" s="153"/>
      <c r="O277" s="153"/>
      <c r="P277" s="153"/>
      <c r="Q277" s="153"/>
      <c r="R277" s="153"/>
      <c r="S277" s="153"/>
      <c r="T277" s="153"/>
      <c r="U277" s="153"/>
      <c r="V277" s="153"/>
      <c r="W277" s="153"/>
      <c r="X277" s="153"/>
      <c r="Y277" s="153"/>
      <c r="Z277" s="153"/>
      <c r="AA277" s="153"/>
      <c r="AB277" s="153"/>
      <c r="AC277" s="153"/>
      <c r="AD277" s="153"/>
      <c r="AE277" s="153"/>
      <c r="AF277" s="153"/>
      <c r="AG277" s="153"/>
      <c r="AH277" s="153"/>
      <c r="AI277" s="153"/>
      <c r="AJ277" s="153"/>
      <c r="AK277" s="153"/>
      <c r="AL277" s="153"/>
      <c r="AM277" s="153"/>
      <c r="AN277" s="153"/>
      <c r="AO277" s="153"/>
      <c r="AP277" s="153"/>
      <c r="AQ277" s="153"/>
      <c r="AR277" s="153"/>
      <c r="AS277" s="153"/>
      <c r="AT277" s="153"/>
      <c r="AU277" s="153"/>
      <c r="AV277" s="153"/>
      <c r="AW277" s="153"/>
      <c r="AX277" s="153"/>
      <c r="AY277" s="153"/>
      <c r="AZ277" s="153"/>
      <c r="BA277" s="153"/>
      <c r="BB277" s="153"/>
      <c r="BC277" s="153"/>
      <c r="BD277" s="153"/>
      <c r="BE277" s="153"/>
      <c r="BF277" s="153"/>
      <c r="BG277" s="153"/>
      <c r="BH277" s="153"/>
      <c r="BI277" s="153"/>
      <c r="BJ277" s="153"/>
      <c r="BK277" s="153"/>
      <c r="BL277" s="153"/>
      <c r="BM277" s="153"/>
      <c r="BN277" s="153"/>
      <c r="BO277" s="153"/>
      <c r="BP277" s="153"/>
      <c r="BQ277" s="153"/>
    </row>
    <row r="278" spans="1:69" x14ac:dyDescent="0.2">
      <c r="A278" s="153"/>
      <c r="B278" s="153"/>
      <c r="C278" s="153"/>
      <c r="D278" s="153"/>
      <c r="E278" s="153"/>
      <c r="F278" s="153"/>
      <c r="G278" s="153"/>
      <c r="H278" s="153"/>
      <c r="I278" s="153"/>
      <c r="J278" s="153"/>
      <c r="K278" s="153"/>
      <c r="L278" s="153"/>
      <c r="M278" s="153"/>
      <c r="N278" s="153"/>
      <c r="O278" s="153"/>
      <c r="P278" s="153"/>
      <c r="Q278" s="153"/>
      <c r="R278" s="153"/>
      <c r="S278" s="153"/>
      <c r="T278" s="153"/>
      <c r="U278" s="153"/>
      <c r="V278" s="153"/>
      <c r="W278" s="153"/>
      <c r="X278" s="153"/>
      <c r="Y278" s="153"/>
      <c r="Z278" s="153"/>
      <c r="AA278" s="153"/>
      <c r="AB278" s="153"/>
      <c r="AC278" s="153"/>
      <c r="AD278" s="153"/>
      <c r="AE278" s="153"/>
      <c r="AF278" s="153"/>
      <c r="AG278" s="153"/>
      <c r="AH278" s="153"/>
      <c r="AI278" s="153"/>
      <c r="AJ278" s="153"/>
      <c r="AK278" s="153"/>
      <c r="AL278" s="153"/>
      <c r="AM278" s="153"/>
      <c r="AN278" s="153"/>
      <c r="AO278" s="153"/>
      <c r="AP278" s="153"/>
      <c r="AQ278" s="153"/>
      <c r="AR278" s="153"/>
      <c r="AS278" s="153"/>
      <c r="AT278" s="153"/>
      <c r="AU278" s="153"/>
      <c r="AV278" s="153"/>
      <c r="AW278" s="153"/>
      <c r="AX278" s="153"/>
      <c r="AY278" s="153"/>
      <c r="AZ278" s="153"/>
      <c r="BA278" s="153"/>
      <c r="BB278" s="153"/>
      <c r="BC278" s="153"/>
      <c r="BD278" s="153"/>
      <c r="BE278" s="153"/>
      <c r="BF278" s="153"/>
      <c r="BG278" s="153"/>
      <c r="BH278" s="153"/>
      <c r="BI278" s="153"/>
      <c r="BJ278" s="153"/>
      <c r="BK278" s="153"/>
      <c r="BL278" s="153"/>
      <c r="BM278" s="153"/>
      <c r="BN278" s="153"/>
      <c r="BO278" s="153"/>
      <c r="BP278" s="153"/>
      <c r="BQ278" s="153"/>
    </row>
    <row r="279" spans="1:69" x14ac:dyDescent="0.2">
      <c r="A279" s="153"/>
      <c r="B279" s="153"/>
      <c r="C279" s="153"/>
      <c r="D279" s="153"/>
      <c r="E279" s="153"/>
      <c r="F279" s="153"/>
      <c r="G279" s="153"/>
      <c r="H279" s="153"/>
      <c r="I279" s="153"/>
      <c r="J279" s="153"/>
      <c r="K279" s="153"/>
      <c r="L279" s="153"/>
      <c r="M279" s="153"/>
      <c r="N279" s="153"/>
      <c r="O279" s="153"/>
      <c r="P279" s="153"/>
      <c r="Q279" s="153"/>
      <c r="R279" s="153"/>
      <c r="S279" s="153"/>
      <c r="T279" s="153"/>
      <c r="U279" s="153"/>
      <c r="V279" s="153"/>
      <c r="W279" s="153"/>
      <c r="X279" s="153"/>
      <c r="Y279" s="153"/>
      <c r="Z279" s="153"/>
      <c r="AA279" s="153"/>
      <c r="AB279" s="153"/>
      <c r="AC279" s="153"/>
      <c r="AD279" s="153"/>
      <c r="AE279" s="153"/>
      <c r="AF279" s="153"/>
      <c r="AG279" s="153"/>
      <c r="AH279" s="153"/>
      <c r="AI279" s="153"/>
      <c r="AJ279" s="153"/>
      <c r="AK279" s="153"/>
      <c r="AL279" s="153"/>
      <c r="AM279" s="153"/>
      <c r="AN279" s="153"/>
      <c r="AO279" s="153"/>
      <c r="AP279" s="153"/>
      <c r="AQ279" s="153"/>
      <c r="AR279" s="153"/>
      <c r="AS279" s="153"/>
      <c r="AT279" s="153"/>
      <c r="AU279" s="153"/>
      <c r="AV279" s="153"/>
      <c r="AW279" s="153"/>
      <c r="AX279" s="153"/>
      <c r="AY279" s="153"/>
      <c r="AZ279" s="153"/>
      <c r="BA279" s="153"/>
      <c r="BB279" s="153"/>
      <c r="BC279" s="153"/>
      <c r="BD279" s="153"/>
      <c r="BE279" s="153"/>
      <c r="BF279" s="153"/>
      <c r="BG279" s="153"/>
      <c r="BH279" s="153"/>
      <c r="BI279" s="153"/>
      <c r="BJ279" s="153"/>
      <c r="BK279" s="153"/>
      <c r="BL279" s="153"/>
      <c r="BM279" s="153"/>
      <c r="BN279" s="153"/>
      <c r="BO279" s="153"/>
      <c r="BP279" s="153"/>
      <c r="BQ279" s="153"/>
    </row>
    <row r="280" spans="1:69" x14ac:dyDescent="0.2">
      <c r="A280" s="153"/>
      <c r="B280" s="153"/>
      <c r="C280" s="153"/>
      <c r="D280" s="153"/>
      <c r="E280" s="153"/>
      <c r="F280" s="153"/>
      <c r="G280" s="153"/>
      <c r="H280" s="153"/>
      <c r="I280" s="153"/>
      <c r="J280" s="153"/>
      <c r="K280" s="153"/>
      <c r="L280" s="153"/>
      <c r="M280" s="153"/>
      <c r="N280" s="153"/>
      <c r="O280" s="153"/>
      <c r="P280" s="153"/>
      <c r="Q280" s="153"/>
      <c r="R280" s="153"/>
      <c r="S280" s="153"/>
      <c r="T280" s="153"/>
      <c r="U280" s="153"/>
      <c r="V280" s="153"/>
      <c r="W280" s="153"/>
      <c r="X280" s="153"/>
      <c r="Y280" s="153"/>
      <c r="Z280" s="153"/>
      <c r="AA280" s="153"/>
      <c r="AB280" s="153"/>
      <c r="AC280" s="153"/>
      <c r="AD280" s="153"/>
      <c r="AE280" s="153"/>
      <c r="AF280" s="153"/>
      <c r="AG280" s="153"/>
      <c r="AH280" s="153"/>
      <c r="AI280" s="153"/>
      <c r="AJ280" s="153"/>
      <c r="AK280" s="153"/>
      <c r="AL280" s="153"/>
      <c r="AM280" s="153"/>
      <c r="AN280" s="153"/>
      <c r="AO280" s="153"/>
      <c r="AP280" s="153"/>
      <c r="AQ280" s="153"/>
      <c r="AR280" s="153"/>
      <c r="AS280" s="153"/>
      <c r="AT280" s="153"/>
      <c r="AU280" s="153"/>
      <c r="AV280" s="153"/>
      <c r="AW280" s="153"/>
      <c r="AX280" s="153"/>
      <c r="AY280" s="153"/>
      <c r="AZ280" s="153"/>
      <c r="BA280" s="153"/>
      <c r="BB280" s="153"/>
      <c r="BC280" s="153"/>
      <c r="BD280" s="153"/>
      <c r="BE280" s="153"/>
      <c r="BF280" s="153"/>
      <c r="BG280" s="153"/>
      <c r="BH280" s="153"/>
      <c r="BI280" s="153"/>
      <c r="BJ280" s="153"/>
      <c r="BK280" s="153"/>
      <c r="BL280" s="153"/>
      <c r="BM280" s="153"/>
      <c r="BN280" s="153"/>
      <c r="BO280" s="153"/>
      <c r="BP280" s="153"/>
      <c r="BQ280" s="153"/>
    </row>
    <row r="281" spans="1:69" x14ac:dyDescent="0.2">
      <c r="A281" s="153"/>
      <c r="B281" s="153"/>
      <c r="C281" s="153"/>
      <c r="D281" s="153"/>
      <c r="E281" s="153"/>
      <c r="F281" s="153"/>
      <c r="G281" s="153"/>
      <c r="H281" s="153"/>
      <c r="I281" s="153"/>
      <c r="J281" s="153"/>
      <c r="K281" s="153"/>
      <c r="L281" s="153"/>
      <c r="M281" s="153"/>
      <c r="N281" s="153"/>
      <c r="O281" s="153"/>
      <c r="P281" s="153"/>
      <c r="Q281" s="153"/>
      <c r="R281" s="153"/>
      <c r="S281" s="153"/>
      <c r="T281" s="153"/>
      <c r="U281" s="153"/>
      <c r="V281" s="153"/>
      <c r="W281" s="153"/>
      <c r="X281" s="153"/>
      <c r="Y281" s="153"/>
      <c r="Z281" s="153"/>
      <c r="AA281" s="153"/>
      <c r="AB281" s="153"/>
      <c r="AC281" s="153"/>
      <c r="AD281" s="153"/>
      <c r="AE281" s="153"/>
      <c r="AF281" s="153"/>
      <c r="AG281" s="153"/>
      <c r="AH281" s="153"/>
      <c r="AI281" s="153"/>
      <c r="AJ281" s="153"/>
      <c r="AK281" s="153"/>
      <c r="AL281" s="153"/>
      <c r="AM281" s="153"/>
      <c r="AN281" s="153"/>
      <c r="AO281" s="153"/>
      <c r="AP281" s="153"/>
      <c r="AQ281" s="153"/>
      <c r="AR281" s="153"/>
      <c r="AS281" s="153"/>
      <c r="AT281" s="153"/>
      <c r="AU281" s="153"/>
      <c r="AV281" s="153"/>
      <c r="AW281" s="153"/>
      <c r="AX281" s="153"/>
      <c r="AY281" s="153"/>
      <c r="AZ281" s="153"/>
      <c r="BA281" s="153"/>
      <c r="BB281" s="153"/>
      <c r="BC281" s="153"/>
      <c r="BD281" s="153"/>
      <c r="BE281" s="153"/>
      <c r="BF281" s="153"/>
      <c r="BG281" s="153"/>
      <c r="BH281" s="153"/>
      <c r="BI281" s="153"/>
      <c r="BJ281" s="153"/>
      <c r="BK281" s="153"/>
      <c r="BL281" s="153"/>
      <c r="BM281" s="153"/>
      <c r="BN281" s="153"/>
      <c r="BO281" s="153"/>
      <c r="BP281" s="153"/>
      <c r="BQ281" s="153"/>
    </row>
    <row r="282" spans="1:69" x14ac:dyDescent="0.2">
      <c r="A282" s="153"/>
      <c r="B282" s="153"/>
      <c r="C282" s="153"/>
      <c r="D282" s="153"/>
      <c r="E282" s="153"/>
      <c r="F282" s="153"/>
      <c r="G282" s="153"/>
      <c r="H282" s="153"/>
      <c r="I282" s="153"/>
      <c r="J282" s="153"/>
      <c r="K282" s="153"/>
      <c r="L282" s="153"/>
      <c r="M282" s="153"/>
      <c r="N282" s="153"/>
      <c r="O282" s="153"/>
      <c r="P282" s="153"/>
      <c r="Q282" s="153"/>
      <c r="R282" s="153"/>
      <c r="S282" s="153"/>
      <c r="T282" s="153"/>
      <c r="U282" s="153"/>
      <c r="V282" s="153"/>
      <c r="W282" s="153"/>
      <c r="X282" s="153"/>
      <c r="Y282" s="153"/>
      <c r="Z282" s="153"/>
      <c r="AA282" s="153"/>
      <c r="AB282" s="153"/>
      <c r="AC282" s="153"/>
      <c r="AD282" s="153"/>
      <c r="AE282" s="153"/>
      <c r="AF282" s="153"/>
      <c r="AG282" s="153"/>
      <c r="AH282" s="153"/>
      <c r="AI282" s="153"/>
      <c r="AJ282" s="153"/>
      <c r="AK282" s="153"/>
      <c r="AL282" s="153"/>
      <c r="AM282" s="153"/>
      <c r="AN282" s="153"/>
      <c r="AO282" s="153"/>
      <c r="AP282" s="153"/>
      <c r="AQ282" s="153"/>
      <c r="AR282" s="153"/>
      <c r="AS282" s="153"/>
      <c r="AT282" s="153"/>
      <c r="AU282" s="153"/>
      <c r="AV282" s="153"/>
      <c r="AW282" s="153"/>
      <c r="AX282" s="153"/>
      <c r="AY282" s="153"/>
      <c r="AZ282" s="153"/>
      <c r="BA282" s="153"/>
      <c r="BB282" s="153"/>
      <c r="BC282" s="153"/>
      <c r="BD282" s="153"/>
      <c r="BE282" s="153"/>
      <c r="BF282" s="153"/>
      <c r="BG282" s="153"/>
      <c r="BH282" s="153"/>
      <c r="BI282" s="153"/>
      <c r="BJ282" s="153"/>
      <c r="BK282" s="153"/>
      <c r="BL282" s="153"/>
      <c r="BM282" s="153"/>
      <c r="BN282" s="153"/>
      <c r="BO282" s="153"/>
      <c r="BP282" s="153"/>
      <c r="BQ282" s="153"/>
    </row>
    <row r="283" spans="1:69" x14ac:dyDescent="0.2">
      <c r="A283" s="153"/>
      <c r="B283" s="153"/>
      <c r="C283" s="153"/>
      <c r="D283" s="153"/>
      <c r="E283" s="153"/>
      <c r="F283" s="153"/>
      <c r="G283" s="153"/>
      <c r="H283" s="153"/>
      <c r="I283" s="153"/>
      <c r="J283" s="153"/>
      <c r="K283" s="153"/>
      <c r="L283" s="153"/>
      <c r="M283" s="153"/>
      <c r="N283" s="153"/>
      <c r="O283" s="153"/>
      <c r="P283" s="153"/>
      <c r="Q283" s="153"/>
      <c r="R283" s="153"/>
      <c r="S283" s="153"/>
      <c r="T283" s="153"/>
      <c r="U283" s="153"/>
      <c r="V283" s="153"/>
      <c r="W283" s="153"/>
      <c r="X283" s="153"/>
      <c r="Y283" s="153"/>
      <c r="Z283" s="153"/>
      <c r="AA283" s="153"/>
      <c r="AB283" s="153"/>
      <c r="AC283" s="153"/>
      <c r="AD283" s="153"/>
      <c r="AE283" s="153"/>
      <c r="AF283" s="153"/>
      <c r="AG283" s="153"/>
      <c r="AH283" s="153"/>
      <c r="AI283" s="153"/>
      <c r="AJ283" s="153"/>
      <c r="AK283" s="153"/>
      <c r="AL283" s="153"/>
      <c r="AM283" s="153"/>
      <c r="AN283" s="153"/>
      <c r="AO283" s="153"/>
      <c r="AP283" s="153"/>
      <c r="AQ283" s="153"/>
      <c r="AR283" s="153"/>
      <c r="AS283" s="153"/>
      <c r="AT283" s="153"/>
      <c r="AU283" s="153"/>
      <c r="AV283" s="153"/>
      <c r="AW283" s="153"/>
      <c r="AX283" s="153"/>
      <c r="AY283" s="153"/>
      <c r="AZ283" s="153"/>
      <c r="BA283" s="153"/>
      <c r="BB283" s="153"/>
      <c r="BC283" s="153"/>
      <c r="BD283" s="153"/>
      <c r="BE283" s="153"/>
      <c r="BF283" s="153"/>
      <c r="BG283" s="153"/>
      <c r="BH283" s="153"/>
      <c r="BI283" s="153"/>
      <c r="BJ283" s="153"/>
      <c r="BK283" s="153"/>
      <c r="BL283" s="153"/>
      <c r="BM283" s="153"/>
      <c r="BN283" s="153"/>
      <c r="BO283" s="153"/>
      <c r="BP283" s="153"/>
      <c r="BQ283" s="153"/>
    </row>
    <row r="284" spans="1:69" x14ac:dyDescent="0.2">
      <c r="A284" s="153"/>
      <c r="B284" s="153"/>
      <c r="C284" s="153"/>
      <c r="D284" s="153"/>
      <c r="E284" s="153"/>
      <c r="F284" s="153"/>
      <c r="G284" s="153"/>
      <c r="H284" s="153"/>
      <c r="I284" s="153"/>
      <c r="J284" s="153"/>
      <c r="K284" s="153"/>
      <c r="L284" s="153"/>
      <c r="M284" s="153"/>
      <c r="N284" s="153"/>
      <c r="O284" s="153"/>
      <c r="P284" s="153"/>
      <c r="Q284" s="153"/>
      <c r="R284" s="153"/>
      <c r="S284" s="153"/>
      <c r="T284" s="153"/>
      <c r="U284" s="153"/>
      <c r="V284" s="153"/>
      <c r="W284" s="153"/>
      <c r="X284" s="153"/>
      <c r="Y284" s="153"/>
      <c r="Z284" s="153"/>
      <c r="AA284" s="153"/>
      <c r="AB284" s="153"/>
      <c r="AC284" s="153"/>
      <c r="AD284" s="153"/>
      <c r="AE284" s="153"/>
      <c r="AF284" s="153"/>
      <c r="AG284" s="153"/>
      <c r="AH284" s="153"/>
      <c r="AI284" s="153"/>
      <c r="AJ284" s="153"/>
      <c r="AK284" s="153"/>
      <c r="AL284" s="153"/>
      <c r="AM284" s="153"/>
      <c r="AN284" s="153"/>
      <c r="AO284" s="153"/>
      <c r="AP284" s="153"/>
      <c r="AQ284" s="153"/>
      <c r="AR284" s="153"/>
      <c r="AS284" s="153"/>
      <c r="AT284" s="153"/>
      <c r="AU284" s="153"/>
      <c r="AV284" s="153"/>
      <c r="AW284" s="153"/>
      <c r="AX284" s="153"/>
      <c r="AY284" s="153"/>
      <c r="AZ284" s="153"/>
      <c r="BA284" s="153"/>
      <c r="BB284" s="153"/>
      <c r="BC284" s="153"/>
      <c r="BD284" s="153"/>
      <c r="BE284" s="153"/>
      <c r="BF284" s="153"/>
      <c r="BG284" s="153"/>
      <c r="BH284" s="153"/>
      <c r="BI284" s="153"/>
      <c r="BJ284" s="153"/>
      <c r="BK284" s="153"/>
      <c r="BL284" s="153"/>
      <c r="BM284" s="153"/>
      <c r="BN284" s="153"/>
      <c r="BO284" s="153"/>
      <c r="BP284" s="153"/>
      <c r="BQ284" s="153"/>
    </row>
    <row r="285" spans="1:69" x14ac:dyDescent="0.2">
      <c r="A285" s="153"/>
      <c r="B285" s="153"/>
      <c r="C285" s="153"/>
      <c r="D285" s="153"/>
      <c r="E285" s="153"/>
      <c r="F285" s="153"/>
      <c r="G285" s="153"/>
      <c r="H285" s="153"/>
      <c r="I285" s="153"/>
      <c r="J285" s="153"/>
      <c r="K285" s="153"/>
      <c r="L285" s="153"/>
      <c r="M285" s="153"/>
      <c r="N285" s="153"/>
      <c r="O285" s="153"/>
      <c r="P285" s="153"/>
      <c r="Q285" s="153"/>
      <c r="R285" s="153"/>
      <c r="S285" s="153"/>
      <c r="T285" s="153"/>
      <c r="U285" s="153"/>
      <c r="V285" s="153"/>
      <c r="W285" s="153"/>
      <c r="X285" s="153"/>
      <c r="Y285" s="153"/>
      <c r="Z285" s="153"/>
      <c r="AA285" s="153"/>
      <c r="AB285" s="153"/>
      <c r="AC285" s="153"/>
      <c r="AD285" s="153"/>
      <c r="AE285" s="153"/>
      <c r="AF285" s="153"/>
      <c r="AG285" s="153"/>
      <c r="AH285" s="153"/>
      <c r="AI285" s="153"/>
      <c r="AJ285" s="153"/>
      <c r="AK285" s="153"/>
      <c r="AL285" s="153"/>
      <c r="AM285" s="153"/>
      <c r="AN285" s="153"/>
      <c r="AO285" s="153"/>
      <c r="AP285" s="153"/>
      <c r="AQ285" s="153"/>
      <c r="AR285" s="153"/>
      <c r="AS285" s="153"/>
      <c r="AT285" s="153"/>
      <c r="AU285" s="153"/>
      <c r="AV285" s="153"/>
      <c r="AW285" s="153"/>
      <c r="AX285" s="153"/>
      <c r="AY285" s="153"/>
      <c r="AZ285" s="153"/>
      <c r="BA285" s="153"/>
      <c r="BB285" s="153"/>
      <c r="BC285" s="153"/>
      <c r="BD285" s="153"/>
      <c r="BE285" s="153"/>
      <c r="BF285" s="153"/>
      <c r="BG285" s="153"/>
      <c r="BH285" s="153"/>
      <c r="BI285" s="153"/>
      <c r="BJ285" s="153"/>
      <c r="BK285" s="153"/>
      <c r="BL285" s="153"/>
      <c r="BM285" s="153"/>
      <c r="BN285" s="153"/>
      <c r="BO285" s="153"/>
      <c r="BP285" s="153"/>
      <c r="BQ285" s="153"/>
    </row>
    <row r="286" spans="1:69" x14ac:dyDescent="0.2">
      <c r="A286" s="153"/>
      <c r="B286" s="153"/>
      <c r="C286" s="153"/>
      <c r="D286" s="153"/>
      <c r="E286" s="153"/>
      <c r="F286" s="153"/>
      <c r="G286" s="153"/>
      <c r="H286" s="153"/>
      <c r="I286" s="153"/>
      <c r="J286" s="153"/>
      <c r="K286" s="153"/>
      <c r="L286" s="153"/>
      <c r="M286" s="153"/>
      <c r="N286" s="153"/>
      <c r="O286" s="153"/>
      <c r="P286" s="153"/>
      <c r="Q286" s="153"/>
      <c r="R286" s="153"/>
      <c r="S286" s="153"/>
      <c r="T286" s="153"/>
      <c r="U286" s="153"/>
      <c r="V286" s="153"/>
      <c r="W286" s="153"/>
      <c r="X286" s="153"/>
      <c r="Y286" s="153"/>
      <c r="Z286" s="153"/>
      <c r="AA286" s="153"/>
      <c r="AB286" s="153"/>
      <c r="AC286" s="153"/>
      <c r="AD286" s="153"/>
      <c r="AE286" s="153"/>
      <c r="AF286" s="153"/>
      <c r="AG286" s="153"/>
      <c r="AH286" s="153"/>
      <c r="AI286" s="153"/>
      <c r="AJ286" s="153"/>
      <c r="AK286" s="153"/>
      <c r="AL286" s="153"/>
      <c r="AM286" s="153"/>
      <c r="AN286" s="153"/>
      <c r="AO286" s="153"/>
      <c r="AP286" s="153"/>
      <c r="AQ286" s="153"/>
      <c r="AR286" s="153"/>
      <c r="AS286" s="153"/>
      <c r="AT286" s="153"/>
      <c r="AU286" s="153"/>
      <c r="AV286" s="153"/>
      <c r="AW286" s="153"/>
      <c r="AX286" s="153"/>
      <c r="AY286" s="153"/>
      <c r="AZ286" s="153"/>
      <c r="BA286" s="153"/>
      <c r="BB286" s="153"/>
      <c r="BC286" s="153"/>
      <c r="BD286" s="153"/>
      <c r="BE286" s="153"/>
      <c r="BF286" s="153"/>
      <c r="BG286" s="153"/>
      <c r="BH286" s="153"/>
      <c r="BI286" s="153"/>
      <c r="BJ286" s="153"/>
      <c r="BK286" s="153"/>
      <c r="BL286" s="153"/>
      <c r="BM286" s="153"/>
      <c r="BN286" s="153"/>
      <c r="BO286" s="153"/>
      <c r="BP286" s="153"/>
      <c r="BQ286" s="153"/>
    </row>
    <row r="287" spans="1:69" x14ac:dyDescent="0.2">
      <c r="A287" s="153"/>
      <c r="B287" s="153"/>
      <c r="C287" s="153"/>
      <c r="D287" s="153"/>
      <c r="E287" s="153"/>
      <c r="F287" s="153"/>
      <c r="G287" s="153"/>
      <c r="H287" s="153"/>
      <c r="I287" s="153"/>
      <c r="J287" s="153"/>
      <c r="K287" s="153"/>
      <c r="L287" s="153"/>
      <c r="M287" s="153"/>
      <c r="N287" s="153"/>
      <c r="O287" s="153"/>
      <c r="P287" s="153"/>
      <c r="Q287" s="153"/>
      <c r="R287" s="153"/>
      <c r="S287" s="153"/>
      <c r="T287" s="153"/>
      <c r="U287" s="153"/>
      <c r="V287" s="153"/>
      <c r="W287" s="153"/>
      <c r="X287" s="153"/>
      <c r="Y287" s="153"/>
      <c r="Z287" s="153"/>
      <c r="AA287" s="153"/>
      <c r="AB287" s="153"/>
      <c r="AC287" s="153"/>
      <c r="AD287" s="153"/>
      <c r="AE287" s="153"/>
      <c r="AF287" s="153"/>
      <c r="AG287" s="153"/>
      <c r="AH287" s="153"/>
      <c r="AI287" s="153"/>
      <c r="AJ287" s="153"/>
      <c r="AK287" s="153"/>
      <c r="AL287" s="153"/>
      <c r="AM287" s="153"/>
      <c r="AN287" s="153"/>
      <c r="AO287" s="153"/>
      <c r="AP287" s="153"/>
      <c r="AQ287" s="153"/>
      <c r="AR287" s="153"/>
      <c r="AS287" s="153"/>
      <c r="AT287" s="153"/>
      <c r="AU287" s="153"/>
      <c r="AV287" s="153"/>
      <c r="AW287" s="153"/>
      <c r="AX287" s="153"/>
      <c r="AY287" s="153"/>
      <c r="AZ287" s="153"/>
      <c r="BA287" s="153"/>
      <c r="BB287" s="153"/>
      <c r="BC287" s="153"/>
      <c r="BD287" s="153"/>
      <c r="BE287" s="153"/>
      <c r="BF287" s="153"/>
      <c r="BG287" s="153"/>
      <c r="BH287" s="153"/>
      <c r="BI287" s="153"/>
      <c r="BJ287" s="153"/>
      <c r="BK287" s="153"/>
      <c r="BL287" s="153"/>
      <c r="BM287" s="153"/>
      <c r="BN287" s="153"/>
      <c r="BO287" s="153"/>
      <c r="BP287" s="153"/>
      <c r="BQ287" s="153"/>
    </row>
    <row r="288" spans="1:69" x14ac:dyDescent="0.2">
      <c r="A288" s="153"/>
      <c r="B288" s="153"/>
      <c r="C288" s="153"/>
      <c r="D288" s="153"/>
      <c r="E288" s="153"/>
      <c r="F288" s="153"/>
      <c r="G288" s="153"/>
      <c r="H288" s="153"/>
      <c r="I288" s="153"/>
      <c r="J288" s="153"/>
      <c r="K288" s="153"/>
      <c r="L288" s="153"/>
      <c r="M288" s="153"/>
      <c r="N288" s="153"/>
      <c r="O288" s="153"/>
      <c r="P288" s="153"/>
      <c r="Q288" s="153"/>
      <c r="R288" s="153"/>
      <c r="S288" s="153"/>
      <c r="T288" s="153"/>
      <c r="U288" s="153"/>
      <c r="V288" s="153"/>
      <c r="W288" s="153"/>
      <c r="X288" s="153"/>
      <c r="Y288" s="153"/>
      <c r="Z288" s="153"/>
      <c r="AA288" s="153"/>
      <c r="AB288" s="153"/>
      <c r="AC288" s="153"/>
      <c r="AD288" s="153"/>
      <c r="AE288" s="153"/>
      <c r="AF288" s="153"/>
      <c r="AG288" s="153"/>
      <c r="AH288" s="153"/>
      <c r="AI288" s="153"/>
      <c r="AJ288" s="153"/>
      <c r="AK288" s="153"/>
      <c r="AL288" s="153"/>
      <c r="AM288" s="153"/>
      <c r="AN288" s="153"/>
      <c r="AO288" s="153"/>
      <c r="AP288" s="153"/>
      <c r="AQ288" s="153"/>
      <c r="AR288" s="153"/>
      <c r="AS288" s="153"/>
      <c r="AT288" s="153"/>
      <c r="AU288" s="153"/>
      <c r="AV288" s="153"/>
      <c r="AW288" s="153"/>
      <c r="AX288" s="153"/>
      <c r="AY288" s="153"/>
      <c r="AZ288" s="153"/>
      <c r="BA288" s="153"/>
      <c r="BB288" s="153"/>
      <c r="BC288" s="153"/>
      <c r="BD288" s="153"/>
      <c r="BE288" s="153"/>
      <c r="BF288" s="153"/>
      <c r="BG288" s="153"/>
      <c r="BH288" s="153"/>
      <c r="BI288" s="153"/>
      <c r="BJ288" s="153"/>
      <c r="BK288" s="153"/>
      <c r="BL288" s="153"/>
      <c r="BM288" s="153"/>
      <c r="BN288" s="153"/>
      <c r="BO288" s="153"/>
      <c r="BP288" s="153"/>
      <c r="BQ288" s="153"/>
    </row>
    <row r="289" spans="1:69" x14ac:dyDescent="0.2">
      <c r="A289" s="153"/>
      <c r="B289" s="153"/>
      <c r="C289" s="153"/>
      <c r="D289" s="153"/>
      <c r="E289" s="153"/>
      <c r="F289" s="153"/>
      <c r="G289" s="153"/>
      <c r="H289" s="153"/>
      <c r="I289" s="153"/>
      <c r="J289" s="153"/>
      <c r="K289" s="153"/>
      <c r="L289" s="153"/>
      <c r="M289" s="153"/>
      <c r="N289" s="153"/>
      <c r="O289" s="153"/>
      <c r="P289" s="153"/>
      <c r="Q289" s="153"/>
      <c r="R289" s="153"/>
      <c r="S289" s="153"/>
      <c r="T289" s="153"/>
      <c r="U289" s="153"/>
      <c r="V289" s="153"/>
      <c r="W289" s="153"/>
      <c r="X289" s="153"/>
      <c r="Y289" s="153"/>
      <c r="Z289" s="153"/>
      <c r="AA289" s="153"/>
      <c r="AB289" s="153"/>
      <c r="AC289" s="153"/>
      <c r="AD289" s="153"/>
      <c r="AE289" s="153"/>
      <c r="AF289" s="153"/>
      <c r="AG289" s="153"/>
      <c r="AH289" s="153"/>
      <c r="AI289" s="153"/>
      <c r="AJ289" s="153"/>
      <c r="AK289" s="153"/>
      <c r="AL289" s="153"/>
      <c r="AM289" s="153"/>
      <c r="AN289" s="153"/>
      <c r="AO289" s="153"/>
      <c r="AP289" s="153"/>
      <c r="AQ289" s="153"/>
      <c r="AR289" s="153"/>
      <c r="AS289" s="153"/>
      <c r="AT289" s="153"/>
      <c r="AU289" s="153"/>
      <c r="AV289" s="153"/>
      <c r="AW289" s="153"/>
      <c r="AX289" s="153"/>
      <c r="AY289" s="153"/>
      <c r="AZ289" s="153"/>
      <c r="BA289" s="153"/>
      <c r="BB289" s="153"/>
      <c r="BC289" s="153"/>
      <c r="BD289" s="153"/>
      <c r="BE289" s="153"/>
      <c r="BF289" s="153"/>
      <c r="BG289" s="153"/>
      <c r="BH289" s="153"/>
      <c r="BI289" s="153"/>
      <c r="BJ289" s="153"/>
      <c r="BK289" s="153"/>
      <c r="BL289" s="153"/>
      <c r="BM289" s="153"/>
      <c r="BN289" s="153"/>
      <c r="BO289" s="153"/>
      <c r="BP289" s="153"/>
      <c r="BQ289" s="153"/>
    </row>
    <row r="290" spans="1:69" x14ac:dyDescent="0.2">
      <c r="A290" s="153"/>
      <c r="B290" s="153"/>
      <c r="C290" s="153"/>
      <c r="D290" s="153"/>
      <c r="E290" s="153"/>
      <c r="F290" s="153"/>
      <c r="G290" s="153"/>
      <c r="H290" s="153"/>
      <c r="I290" s="153"/>
      <c r="J290" s="153"/>
      <c r="K290" s="153"/>
      <c r="L290" s="153"/>
      <c r="M290" s="153"/>
      <c r="N290" s="153"/>
      <c r="O290" s="153"/>
      <c r="P290" s="153"/>
      <c r="Q290" s="153"/>
      <c r="R290" s="153"/>
      <c r="S290" s="153"/>
      <c r="T290" s="153"/>
      <c r="U290" s="153"/>
      <c r="V290" s="153"/>
      <c r="W290" s="153"/>
      <c r="X290" s="153"/>
      <c r="Y290" s="153"/>
      <c r="Z290" s="153"/>
      <c r="AA290" s="153"/>
      <c r="AB290" s="153"/>
      <c r="AC290" s="153"/>
      <c r="AD290" s="153"/>
      <c r="AE290" s="153"/>
      <c r="AF290" s="153"/>
      <c r="AG290" s="153"/>
      <c r="AH290" s="153"/>
      <c r="AI290" s="153"/>
      <c r="AJ290" s="153"/>
      <c r="AK290" s="153"/>
      <c r="AL290" s="153"/>
      <c r="AM290" s="153"/>
      <c r="AN290" s="153"/>
      <c r="AO290" s="153"/>
      <c r="AP290" s="153"/>
      <c r="AQ290" s="153"/>
      <c r="AR290" s="153"/>
      <c r="AS290" s="153"/>
      <c r="AT290" s="153"/>
      <c r="AU290" s="153"/>
      <c r="AV290" s="153"/>
      <c r="AW290" s="153"/>
      <c r="AX290" s="153"/>
      <c r="AY290" s="153"/>
      <c r="AZ290" s="153"/>
      <c r="BA290" s="153"/>
      <c r="BB290" s="153"/>
      <c r="BC290" s="153"/>
      <c r="BD290" s="153"/>
      <c r="BE290" s="153"/>
      <c r="BF290" s="153"/>
      <c r="BG290" s="153"/>
      <c r="BH290" s="153"/>
      <c r="BI290" s="153"/>
      <c r="BJ290" s="153"/>
      <c r="BK290" s="153"/>
      <c r="BL290" s="153"/>
      <c r="BM290" s="153"/>
      <c r="BN290" s="153"/>
      <c r="BO290" s="153"/>
      <c r="BP290" s="153"/>
      <c r="BQ290" s="153"/>
    </row>
    <row r="291" spans="1:69" x14ac:dyDescent="0.2">
      <c r="A291" s="153"/>
      <c r="B291" s="153"/>
      <c r="C291" s="153"/>
      <c r="D291" s="153"/>
      <c r="E291" s="153"/>
      <c r="F291" s="153"/>
      <c r="G291" s="153"/>
      <c r="H291" s="153"/>
      <c r="I291" s="153"/>
      <c r="J291" s="153"/>
      <c r="K291" s="153"/>
      <c r="L291" s="153"/>
      <c r="M291" s="153"/>
      <c r="N291" s="153"/>
      <c r="O291" s="153"/>
      <c r="P291" s="153"/>
      <c r="Q291" s="153"/>
      <c r="R291" s="153"/>
      <c r="S291" s="153"/>
      <c r="T291" s="153"/>
      <c r="U291" s="153"/>
      <c r="V291" s="153"/>
      <c r="W291" s="153"/>
      <c r="X291" s="153"/>
      <c r="Y291" s="153"/>
      <c r="Z291" s="153"/>
      <c r="AA291" s="153"/>
      <c r="AB291" s="153"/>
      <c r="AC291" s="153"/>
      <c r="AD291" s="153"/>
      <c r="AE291" s="153"/>
      <c r="AF291" s="153"/>
      <c r="AG291" s="153"/>
      <c r="AH291" s="153"/>
      <c r="AI291" s="153"/>
      <c r="AJ291" s="153"/>
      <c r="AK291" s="153"/>
      <c r="AL291" s="153"/>
      <c r="AM291" s="153"/>
      <c r="AN291" s="153"/>
      <c r="AO291" s="153"/>
      <c r="AP291" s="153"/>
      <c r="AQ291" s="153"/>
      <c r="AR291" s="153"/>
      <c r="AS291" s="153"/>
      <c r="AT291" s="153"/>
      <c r="AU291" s="153"/>
      <c r="AV291" s="153"/>
      <c r="AW291" s="153"/>
      <c r="AX291" s="153"/>
      <c r="AY291" s="153"/>
      <c r="AZ291" s="153"/>
      <c r="BA291" s="153"/>
      <c r="BB291" s="153"/>
      <c r="BC291" s="153"/>
      <c r="BD291" s="153"/>
      <c r="BE291" s="153"/>
      <c r="BF291" s="153"/>
      <c r="BG291" s="153"/>
      <c r="BH291" s="153"/>
      <c r="BI291" s="153"/>
      <c r="BJ291" s="153"/>
      <c r="BK291" s="153"/>
      <c r="BL291" s="153"/>
      <c r="BM291" s="153"/>
      <c r="BN291" s="153"/>
      <c r="BO291" s="153"/>
      <c r="BP291" s="153"/>
      <c r="BQ291" s="153"/>
    </row>
    <row r="292" spans="1:69" x14ac:dyDescent="0.2">
      <c r="A292" s="153"/>
      <c r="B292" s="153"/>
      <c r="C292" s="153"/>
      <c r="D292" s="153"/>
      <c r="E292" s="153"/>
      <c r="F292" s="153"/>
      <c r="G292" s="153"/>
      <c r="H292" s="153"/>
      <c r="I292" s="153"/>
      <c r="J292" s="153"/>
      <c r="K292" s="153"/>
      <c r="L292" s="153"/>
      <c r="M292" s="153"/>
      <c r="N292" s="153"/>
      <c r="O292" s="153"/>
      <c r="P292" s="153"/>
      <c r="Q292" s="153"/>
      <c r="R292" s="153"/>
      <c r="S292" s="153"/>
      <c r="T292" s="153"/>
      <c r="U292" s="153"/>
      <c r="V292" s="153"/>
      <c r="W292" s="153"/>
      <c r="X292" s="153"/>
      <c r="Y292" s="153"/>
      <c r="Z292" s="153"/>
      <c r="AA292" s="153"/>
      <c r="AB292" s="153"/>
      <c r="AC292" s="153"/>
      <c r="AD292" s="153"/>
      <c r="AE292" s="153"/>
      <c r="AF292" s="153"/>
      <c r="AG292" s="153"/>
      <c r="AH292" s="153"/>
      <c r="AI292" s="153"/>
      <c r="AJ292" s="153"/>
      <c r="AK292" s="153"/>
      <c r="AL292" s="153"/>
      <c r="AM292" s="153"/>
      <c r="AN292" s="153"/>
      <c r="AO292" s="153"/>
      <c r="AP292" s="153"/>
      <c r="AQ292" s="153"/>
      <c r="AR292" s="153"/>
      <c r="AS292" s="153"/>
      <c r="AT292" s="153"/>
      <c r="AU292" s="153"/>
      <c r="AV292" s="153"/>
      <c r="AW292" s="153"/>
      <c r="AX292" s="153"/>
      <c r="AY292" s="153"/>
      <c r="AZ292" s="153"/>
      <c r="BA292" s="153"/>
      <c r="BB292" s="153"/>
      <c r="BC292" s="153"/>
      <c r="BD292" s="153"/>
      <c r="BE292" s="153"/>
      <c r="BF292" s="153"/>
      <c r="BG292" s="153"/>
      <c r="BH292" s="153"/>
      <c r="BI292" s="153"/>
      <c r="BJ292" s="153"/>
      <c r="BK292" s="153"/>
      <c r="BL292" s="153"/>
      <c r="BM292" s="153"/>
      <c r="BN292" s="153"/>
      <c r="BO292" s="153"/>
      <c r="BP292" s="153"/>
      <c r="BQ292" s="153"/>
    </row>
    <row r="293" spans="1:69" x14ac:dyDescent="0.2">
      <c r="A293" s="153"/>
      <c r="B293" s="153"/>
      <c r="C293" s="153"/>
      <c r="D293" s="153"/>
      <c r="E293" s="153"/>
      <c r="F293" s="153"/>
      <c r="G293" s="153"/>
      <c r="H293" s="153"/>
      <c r="I293" s="153"/>
      <c r="J293" s="153"/>
      <c r="K293" s="153"/>
      <c r="L293" s="153"/>
      <c r="M293" s="153"/>
      <c r="N293" s="153"/>
      <c r="O293" s="153"/>
      <c r="P293" s="153"/>
      <c r="Q293" s="153"/>
      <c r="R293" s="153"/>
      <c r="S293" s="153"/>
      <c r="T293" s="153"/>
      <c r="U293" s="153"/>
      <c r="V293" s="153"/>
      <c r="W293" s="153"/>
      <c r="X293" s="153"/>
      <c r="Y293" s="153"/>
      <c r="Z293" s="153"/>
      <c r="AA293" s="153"/>
      <c r="AB293" s="153"/>
      <c r="AC293" s="153"/>
      <c r="AD293" s="153"/>
      <c r="AE293" s="153"/>
      <c r="AF293" s="153"/>
      <c r="AG293" s="153"/>
      <c r="AH293" s="153"/>
      <c r="AI293" s="153"/>
      <c r="AJ293" s="153"/>
      <c r="AK293" s="153"/>
      <c r="AL293" s="153"/>
      <c r="AM293" s="153"/>
      <c r="AN293" s="153"/>
      <c r="AO293" s="153"/>
      <c r="AP293" s="153"/>
      <c r="AQ293" s="153"/>
      <c r="AR293" s="153"/>
      <c r="AS293" s="153"/>
      <c r="AT293" s="153"/>
      <c r="AU293" s="153"/>
      <c r="AV293" s="153"/>
      <c r="AW293" s="153"/>
      <c r="AX293" s="153"/>
      <c r="AY293" s="153"/>
      <c r="AZ293" s="153"/>
      <c r="BA293" s="153"/>
      <c r="BB293" s="153"/>
      <c r="BC293" s="153"/>
      <c r="BD293" s="153"/>
      <c r="BE293" s="153"/>
      <c r="BF293" s="153"/>
      <c r="BG293" s="153"/>
      <c r="BH293" s="153"/>
      <c r="BI293" s="153"/>
      <c r="BJ293" s="153"/>
      <c r="BK293" s="153"/>
      <c r="BL293" s="153"/>
      <c r="BM293" s="153"/>
      <c r="BN293" s="153"/>
      <c r="BO293" s="153"/>
      <c r="BP293" s="153"/>
      <c r="BQ293" s="153"/>
    </row>
    <row r="294" spans="1:69" x14ac:dyDescent="0.2">
      <c r="A294" s="153"/>
      <c r="B294" s="153"/>
      <c r="C294" s="153"/>
      <c r="D294" s="153"/>
      <c r="E294" s="153"/>
      <c r="F294" s="153"/>
      <c r="G294" s="153"/>
      <c r="H294" s="153"/>
      <c r="I294" s="153"/>
      <c r="J294" s="153"/>
      <c r="K294" s="153"/>
      <c r="L294" s="153"/>
      <c r="M294" s="153"/>
      <c r="N294" s="153"/>
      <c r="O294" s="153"/>
      <c r="P294" s="153"/>
      <c r="Q294" s="153"/>
      <c r="R294" s="153"/>
      <c r="S294" s="153"/>
      <c r="T294" s="153"/>
      <c r="U294" s="153"/>
      <c r="V294" s="153"/>
      <c r="W294" s="153"/>
      <c r="X294" s="153"/>
      <c r="Y294" s="153"/>
      <c r="Z294" s="153"/>
      <c r="AA294" s="153"/>
      <c r="AB294" s="153"/>
      <c r="AC294" s="153"/>
      <c r="AD294" s="153"/>
      <c r="AE294" s="153"/>
      <c r="AF294" s="153"/>
      <c r="AG294" s="153"/>
      <c r="AH294" s="153"/>
      <c r="AI294" s="153"/>
      <c r="AJ294" s="153"/>
      <c r="AK294" s="153"/>
      <c r="AL294" s="153"/>
      <c r="AM294" s="153"/>
      <c r="AN294" s="153"/>
      <c r="AO294" s="153"/>
      <c r="AP294" s="153"/>
      <c r="AQ294" s="153"/>
      <c r="AR294" s="153"/>
      <c r="AS294" s="153"/>
      <c r="AT294" s="153"/>
      <c r="AU294" s="153"/>
      <c r="AV294" s="153"/>
      <c r="AW294" s="153"/>
      <c r="AX294" s="153"/>
      <c r="AY294" s="153"/>
      <c r="AZ294" s="153"/>
      <c r="BA294" s="153"/>
      <c r="BB294" s="153"/>
      <c r="BC294" s="153"/>
      <c r="BD294" s="153"/>
      <c r="BE294" s="153"/>
      <c r="BF294" s="153"/>
      <c r="BG294" s="153"/>
      <c r="BH294" s="153"/>
      <c r="BI294" s="153"/>
      <c r="BJ294" s="153"/>
      <c r="BK294" s="153"/>
      <c r="BL294" s="153"/>
      <c r="BM294" s="153"/>
      <c r="BN294" s="153"/>
      <c r="BO294" s="153"/>
      <c r="BP294" s="153"/>
      <c r="BQ294" s="153"/>
    </row>
    <row r="295" spans="1:69" x14ac:dyDescent="0.2">
      <c r="A295" s="153"/>
      <c r="B295" s="153"/>
      <c r="C295" s="153"/>
      <c r="D295" s="153"/>
      <c r="E295" s="153"/>
      <c r="F295" s="153"/>
      <c r="G295" s="153"/>
      <c r="H295" s="153"/>
      <c r="I295" s="153"/>
      <c r="J295" s="153"/>
      <c r="K295" s="153"/>
      <c r="L295" s="153"/>
      <c r="M295" s="153"/>
      <c r="N295" s="153"/>
      <c r="O295" s="153"/>
      <c r="P295" s="153"/>
      <c r="Q295" s="153"/>
      <c r="R295" s="153"/>
      <c r="S295" s="153"/>
      <c r="T295" s="153"/>
      <c r="U295" s="153"/>
      <c r="V295" s="153"/>
      <c r="W295" s="153"/>
      <c r="X295" s="153"/>
      <c r="Y295" s="153"/>
      <c r="Z295" s="153"/>
      <c r="AA295" s="153"/>
      <c r="AB295" s="153"/>
      <c r="AC295" s="153"/>
      <c r="AD295" s="153"/>
      <c r="AE295" s="153"/>
      <c r="AF295" s="153"/>
      <c r="AG295" s="153"/>
      <c r="AH295" s="153"/>
      <c r="AI295" s="153"/>
      <c r="AJ295" s="153"/>
      <c r="AK295" s="153"/>
      <c r="AL295" s="153"/>
      <c r="AM295" s="153"/>
      <c r="AN295" s="153"/>
      <c r="AO295" s="153"/>
      <c r="AP295" s="153"/>
      <c r="AQ295" s="153"/>
      <c r="AR295" s="153"/>
      <c r="AS295" s="153"/>
      <c r="AT295" s="153"/>
      <c r="AU295" s="153"/>
      <c r="AV295" s="153"/>
      <c r="AW295" s="153"/>
      <c r="AX295" s="153"/>
      <c r="AY295" s="153"/>
      <c r="AZ295" s="153"/>
      <c r="BA295" s="153"/>
      <c r="BB295" s="153"/>
      <c r="BC295" s="153"/>
      <c r="BD295" s="153"/>
      <c r="BE295" s="153"/>
      <c r="BF295" s="153"/>
      <c r="BG295" s="153"/>
      <c r="BH295" s="153"/>
      <c r="BI295" s="153"/>
      <c r="BJ295" s="153"/>
      <c r="BK295" s="153"/>
      <c r="BL295" s="153"/>
      <c r="BM295" s="153"/>
      <c r="BN295" s="153"/>
      <c r="BO295" s="153"/>
      <c r="BP295" s="153"/>
      <c r="BQ295" s="153"/>
    </row>
    <row r="296" spans="1:69" x14ac:dyDescent="0.2">
      <c r="A296" s="153"/>
      <c r="B296" s="153"/>
      <c r="C296" s="153"/>
      <c r="D296" s="153"/>
      <c r="E296" s="153"/>
      <c r="F296" s="153"/>
      <c r="G296" s="153"/>
      <c r="H296" s="153"/>
      <c r="I296" s="153"/>
      <c r="J296" s="153"/>
      <c r="K296" s="153"/>
      <c r="L296" s="153"/>
      <c r="M296" s="153"/>
      <c r="N296" s="153"/>
      <c r="O296" s="153"/>
      <c r="P296" s="153"/>
      <c r="Q296" s="153"/>
      <c r="R296" s="153"/>
      <c r="S296" s="153"/>
      <c r="T296" s="153"/>
      <c r="U296" s="153"/>
      <c r="V296" s="153"/>
      <c r="W296" s="153"/>
      <c r="X296" s="153"/>
      <c r="Y296" s="153"/>
      <c r="Z296" s="153"/>
      <c r="AA296" s="153"/>
      <c r="AB296" s="153"/>
      <c r="AC296" s="153"/>
      <c r="AD296" s="153"/>
      <c r="AE296" s="153"/>
      <c r="AF296" s="153"/>
      <c r="AG296" s="153"/>
      <c r="AH296" s="153"/>
      <c r="AI296" s="153"/>
      <c r="AJ296" s="153"/>
      <c r="AK296" s="153"/>
      <c r="AL296" s="153"/>
      <c r="AM296" s="153"/>
      <c r="AN296" s="153"/>
      <c r="AO296" s="153"/>
      <c r="AP296" s="153"/>
      <c r="AQ296" s="153"/>
      <c r="AR296" s="153"/>
      <c r="AS296" s="153"/>
      <c r="AT296" s="153"/>
      <c r="AU296" s="153"/>
      <c r="AV296" s="153"/>
      <c r="AW296" s="153"/>
      <c r="AX296" s="153"/>
      <c r="AY296" s="153"/>
      <c r="AZ296" s="153"/>
      <c r="BA296" s="153"/>
      <c r="BB296" s="153"/>
      <c r="BC296" s="153"/>
      <c r="BD296" s="153"/>
      <c r="BE296" s="153"/>
      <c r="BF296" s="153"/>
      <c r="BG296" s="153"/>
      <c r="BH296" s="153"/>
      <c r="BI296" s="153"/>
      <c r="BJ296" s="153"/>
      <c r="BK296" s="153"/>
      <c r="BL296" s="153"/>
      <c r="BM296" s="153"/>
      <c r="BN296" s="153"/>
      <c r="BO296" s="153"/>
      <c r="BP296" s="153"/>
      <c r="BQ296" s="153"/>
    </row>
    <row r="297" spans="1:69" x14ac:dyDescent="0.2">
      <c r="A297" s="153"/>
      <c r="B297" s="153"/>
      <c r="C297" s="153"/>
      <c r="D297" s="153"/>
      <c r="E297" s="153"/>
      <c r="F297" s="153"/>
      <c r="G297" s="153"/>
      <c r="H297" s="153"/>
      <c r="I297" s="153"/>
      <c r="J297" s="153"/>
      <c r="K297" s="153"/>
      <c r="L297" s="153"/>
      <c r="M297" s="153"/>
      <c r="N297" s="153"/>
      <c r="O297" s="153"/>
      <c r="P297" s="153"/>
      <c r="Q297" s="153"/>
      <c r="R297" s="153"/>
      <c r="S297" s="153"/>
      <c r="T297" s="153"/>
      <c r="U297" s="153"/>
      <c r="V297" s="153"/>
      <c r="W297" s="153"/>
      <c r="X297" s="153"/>
      <c r="Y297" s="153"/>
      <c r="Z297" s="153"/>
      <c r="AA297" s="153"/>
      <c r="AB297" s="153"/>
      <c r="AC297" s="153"/>
      <c r="AD297" s="153"/>
      <c r="AE297" s="153"/>
      <c r="AF297" s="153"/>
      <c r="AG297" s="153"/>
      <c r="AH297" s="153"/>
      <c r="AI297" s="153"/>
      <c r="AJ297" s="153"/>
      <c r="AK297" s="153"/>
      <c r="AL297" s="153"/>
      <c r="AM297" s="153"/>
      <c r="AN297" s="153"/>
      <c r="AO297" s="153"/>
      <c r="AP297" s="153"/>
      <c r="AQ297" s="153"/>
      <c r="AR297" s="153"/>
      <c r="AS297" s="153"/>
      <c r="AT297" s="153"/>
      <c r="AU297" s="153"/>
      <c r="AV297" s="153"/>
      <c r="AW297" s="153"/>
      <c r="AX297" s="153"/>
      <c r="AY297" s="153"/>
      <c r="AZ297" s="153"/>
      <c r="BA297" s="153"/>
      <c r="BB297" s="153"/>
      <c r="BC297" s="153"/>
      <c r="BD297" s="153"/>
      <c r="BE297" s="153"/>
      <c r="BF297" s="153"/>
      <c r="BG297" s="153"/>
      <c r="BH297" s="153"/>
      <c r="BI297" s="153"/>
      <c r="BJ297" s="153"/>
      <c r="BK297" s="153"/>
      <c r="BL297" s="153"/>
      <c r="BM297" s="153"/>
      <c r="BN297" s="153"/>
      <c r="BO297" s="153"/>
      <c r="BP297" s="153"/>
      <c r="BQ297" s="153"/>
    </row>
    <row r="298" spans="1:69" x14ac:dyDescent="0.2">
      <c r="A298" s="153"/>
      <c r="B298" s="153"/>
      <c r="C298" s="153"/>
      <c r="D298" s="153"/>
      <c r="E298" s="153"/>
      <c r="F298" s="153"/>
      <c r="G298" s="153"/>
      <c r="H298" s="153"/>
      <c r="I298" s="153"/>
      <c r="J298" s="153"/>
      <c r="K298" s="153"/>
      <c r="L298" s="153"/>
      <c r="M298" s="153"/>
      <c r="N298" s="153"/>
      <c r="O298" s="153"/>
      <c r="P298" s="153"/>
      <c r="Q298" s="153"/>
      <c r="R298" s="153"/>
      <c r="S298" s="153"/>
      <c r="T298" s="153"/>
      <c r="U298" s="153"/>
      <c r="V298" s="153"/>
      <c r="W298" s="153"/>
      <c r="X298" s="153"/>
      <c r="Y298" s="153"/>
      <c r="Z298" s="153"/>
      <c r="AA298" s="153"/>
      <c r="AB298" s="153"/>
      <c r="AC298" s="153"/>
      <c r="AD298" s="153"/>
      <c r="AE298" s="153"/>
      <c r="AF298" s="153"/>
      <c r="AG298" s="153"/>
      <c r="AH298" s="153"/>
      <c r="AI298" s="153"/>
      <c r="AJ298" s="153"/>
      <c r="AK298" s="153"/>
      <c r="AL298" s="153"/>
      <c r="AM298" s="153"/>
      <c r="AN298" s="153"/>
      <c r="AO298" s="153"/>
      <c r="AP298" s="153"/>
      <c r="AQ298" s="153"/>
      <c r="AR298" s="153"/>
      <c r="AS298" s="153"/>
      <c r="AT298" s="153"/>
      <c r="AU298" s="153"/>
      <c r="AV298" s="153"/>
      <c r="AW298" s="153"/>
      <c r="AX298" s="153"/>
      <c r="AY298" s="153"/>
      <c r="AZ298" s="153"/>
      <c r="BA298" s="153"/>
      <c r="BB298" s="153"/>
      <c r="BC298" s="153"/>
      <c r="BD298" s="153"/>
      <c r="BE298" s="153"/>
      <c r="BF298" s="153"/>
      <c r="BG298" s="153"/>
      <c r="BH298" s="153"/>
      <c r="BI298" s="153"/>
      <c r="BJ298" s="153"/>
      <c r="BK298" s="153"/>
      <c r="BL298" s="153"/>
      <c r="BM298" s="153"/>
      <c r="BN298" s="153"/>
      <c r="BO298" s="153"/>
      <c r="BP298" s="153"/>
      <c r="BQ298" s="153"/>
    </row>
    <row r="299" spans="1:69" x14ac:dyDescent="0.2">
      <c r="A299" s="153"/>
      <c r="B299" s="153"/>
      <c r="C299" s="153"/>
      <c r="D299" s="153"/>
      <c r="E299" s="153"/>
      <c r="F299" s="153"/>
      <c r="G299" s="153"/>
      <c r="H299" s="153"/>
      <c r="I299" s="153"/>
      <c r="J299" s="153"/>
      <c r="K299" s="153"/>
      <c r="L299" s="153"/>
      <c r="M299" s="153"/>
      <c r="N299" s="153"/>
      <c r="O299" s="153"/>
      <c r="P299" s="153"/>
      <c r="Q299" s="153"/>
      <c r="R299" s="153"/>
      <c r="S299" s="153"/>
      <c r="T299" s="153"/>
      <c r="U299" s="153"/>
      <c r="V299" s="153"/>
      <c r="W299" s="153"/>
      <c r="X299" s="153"/>
      <c r="Y299" s="153"/>
      <c r="Z299" s="153"/>
      <c r="AA299" s="153"/>
      <c r="AB299" s="153"/>
      <c r="AC299" s="153"/>
      <c r="AD299" s="153"/>
      <c r="AE299" s="153"/>
      <c r="AF299" s="153"/>
      <c r="AG299" s="153"/>
      <c r="AH299" s="153"/>
      <c r="AI299" s="153"/>
      <c r="AJ299" s="153"/>
      <c r="AK299" s="153"/>
      <c r="AL299" s="153"/>
      <c r="AM299" s="153"/>
      <c r="AN299" s="153"/>
      <c r="AO299" s="153"/>
      <c r="AP299" s="153"/>
      <c r="AQ299" s="153"/>
      <c r="AR299" s="153"/>
      <c r="AS299" s="153"/>
      <c r="AT299" s="153"/>
      <c r="AU299" s="153"/>
      <c r="AV299" s="153"/>
      <c r="AW299" s="153"/>
      <c r="AX299" s="153"/>
      <c r="AY299" s="153"/>
      <c r="AZ299" s="153"/>
      <c r="BA299" s="153"/>
      <c r="BB299" s="153"/>
      <c r="BC299" s="153"/>
      <c r="BD299" s="153"/>
      <c r="BE299" s="153"/>
      <c r="BF299" s="153"/>
      <c r="BG299" s="153"/>
      <c r="BH299" s="153"/>
      <c r="BI299" s="153"/>
      <c r="BJ299" s="153"/>
      <c r="BK299" s="153"/>
      <c r="BL299" s="153"/>
      <c r="BM299" s="153"/>
      <c r="BN299" s="153"/>
      <c r="BO299" s="153"/>
      <c r="BP299" s="153"/>
      <c r="BQ299" s="153"/>
    </row>
    <row r="300" spans="1:69" x14ac:dyDescent="0.2">
      <c r="A300" s="153"/>
      <c r="B300" s="153"/>
      <c r="C300" s="153"/>
      <c r="D300" s="153"/>
      <c r="E300" s="153"/>
      <c r="F300" s="153"/>
      <c r="G300" s="153"/>
      <c r="H300" s="153"/>
      <c r="I300" s="153"/>
      <c r="J300" s="153"/>
      <c r="K300" s="153"/>
      <c r="L300" s="153"/>
      <c r="M300" s="153"/>
      <c r="N300" s="153"/>
      <c r="O300" s="153"/>
      <c r="P300" s="153"/>
      <c r="Q300" s="153"/>
      <c r="R300" s="153"/>
      <c r="S300" s="153"/>
      <c r="T300" s="153"/>
      <c r="U300" s="153"/>
      <c r="V300" s="153"/>
      <c r="W300" s="153"/>
      <c r="X300" s="153"/>
      <c r="Y300" s="153"/>
      <c r="Z300" s="153"/>
      <c r="AA300" s="153"/>
      <c r="AB300" s="153"/>
      <c r="AC300" s="153"/>
      <c r="AD300" s="153"/>
      <c r="AE300" s="153"/>
      <c r="AF300" s="153"/>
      <c r="AG300" s="153"/>
      <c r="AH300" s="153"/>
      <c r="AI300" s="153"/>
      <c r="AJ300" s="153"/>
      <c r="AK300" s="153"/>
      <c r="AL300" s="153"/>
      <c r="AM300" s="153"/>
      <c r="AN300" s="153"/>
      <c r="AO300" s="153"/>
      <c r="AP300" s="153"/>
      <c r="AQ300" s="153"/>
      <c r="AR300" s="153"/>
      <c r="AS300" s="153"/>
      <c r="AT300" s="153"/>
      <c r="AU300" s="153"/>
      <c r="AV300" s="153"/>
      <c r="AW300" s="153"/>
      <c r="AX300" s="153"/>
      <c r="AY300" s="153"/>
      <c r="AZ300" s="153"/>
      <c r="BA300" s="153"/>
      <c r="BB300" s="153"/>
      <c r="BC300" s="153"/>
      <c r="BD300" s="153"/>
      <c r="BE300" s="153"/>
      <c r="BF300" s="153"/>
      <c r="BG300" s="153"/>
      <c r="BH300" s="153"/>
      <c r="BI300" s="153"/>
      <c r="BJ300" s="153"/>
      <c r="BK300" s="153"/>
      <c r="BL300" s="153"/>
      <c r="BM300" s="153"/>
      <c r="BN300" s="153"/>
      <c r="BO300" s="153"/>
      <c r="BP300" s="153"/>
      <c r="BQ300" s="153"/>
    </row>
    <row r="301" spans="1:69" x14ac:dyDescent="0.2">
      <c r="A301" s="153"/>
      <c r="B301" s="153"/>
      <c r="C301" s="153"/>
      <c r="D301" s="153"/>
      <c r="E301" s="153"/>
      <c r="F301" s="153"/>
      <c r="G301" s="153"/>
      <c r="H301" s="153"/>
      <c r="I301" s="153"/>
      <c r="J301" s="153"/>
      <c r="K301" s="153"/>
      <c r="L301" s="153"/>
      <c r="M301" s="153"/>
      <c r="N301" s="153"/>
      <c r="O301" s="153"/>
      <c r="P301" s="153"/>
      <c r="Q301" s="153"/>
      <c r="R301" s="153"/>
      <c r="S301" s="153"/>
      <c r="T301" s="153"/>
      <c r="U301" s="153"/>
      <c r="V301" s="153"/>
      <c r="W301" s="153"/>
      <c r="X301" s="153"/>
      <c r="Y301" s="153"/>
      <c r="Z301" s="153"/>
      <c r="AA301" s="153"/>
      <c r="AB301" s="153"/>
      <c r="AC301" s="153"/>
      <c r="AD301" s="153"/>
      <c r="AE301" s="153"/>
      <c r="AF301" s="153"/>
      <c r="AG301" s="153"/>
      <c r="AH301" s="153"/>
      <c r="AI301" s="153"/>
      <c r="AJ301" s="153"/>
      <c r="AK301" s="153"/>
      <c r="AL301" s="153"/>
      <c r="AM301" s="153"/>
      <c r="AN301" s="153"/>
      <c r="AO301" s="153"/>
      <c r="AP301" s="153"/>
      <c r="AQ301" s="153"/>
      <c r="AR301" s="153"/>
      <c r="AS301" s="153"/>
      <c r="AT301" s="153"/>
      <c r="AU301" s="153"/>
      <c r="AV301" s="153"/>
      <c r="AW301" s="153"/>
      <c r="AX301" s="153"/>
      <c r="AY301" s="153"/>
      <c r="AZ301" s="153"/>
      <c r="BA301" s="153"/>
      <c r="BB301" s="153"/>
      <c r="BC301" s="153"/>
      <c r="BD301" s="153"/>
      <c r="BE301" s="153"/>
      <c r="BF301" s="153"/>
      <c r="BG301" s="153"/>
      <c r="BH301" s="153"/>
      <c r="BI301" s="153"/>
      <c r="BJ301" s="153"/>
      <c r="BK301" s="153"/>
      <c r="BL301" s="153"/>
      <c r="BM301" s="153"/>
      <c r="BN301" s="153"/>
      <c r="BO301" s="153"/>
      <c r="BP301" s="153"/>
      <c r="BQ301" s="153"/>
    </row>
    <row r="302" spans="1:69" x14ac:dyDescent="0.2">
      <c r="A302" s="153"/>
      <c r="B302" s="153"/>
      <c r="C302" s="153"/>
      <c r="D302" s="153"/>
      <c r="E302" s="153"/>
      <c r="F302" s="153"/>
      <c r="G302" s="153"/>
      <c r="H302" s="153"/>
      <c r="I302" s="153"/>
      <c r="J302" s="153"/>
      <c r="K302" s="153"/>
      <c r="L302" s="153"/>
      <c r="M302" s="153"/>
      <c r="N302" s="153"/>
      <c r="O302" s="153"/>
      <c r="P302" s="153"/>
      <c r="Q302" s="153"/>
      <c r="R302" s="153"/>
      <c r="S302" s="153"/>
      <c r="T302" s="153"/>
      <c r="U302" s="153"/>
      <c r="V302" s="153"/>
      <c r="W302" s="153"/>
      <c r="X302" s="153"/>
      <c r="Y302" s="153"/>
      <c r="Z302" s="153"/>
      <c r="AA302" s="153"/>
      <c r="AB302" s="153"/>
      <c r="AC302" s="153"/>
      <c r="AD302" s="153"/>
      <c r="AE302" s="153"/>
      <c r="AF302" s="153"/>
      <c r="AG302" s="153"/>
      <c r="AH302" s="153"/>
      <c r="AI302" s="153"/>
      <c r="AJ302" s="153"/>
      <c r="AK302" s="153"/>
      <c r="AL302" s="153"/>
      <c r="AM302" s="153"/>
      <c r="AN302" s="153"/>
      <c r="AO302" s="153"/>
      <c r="AP302" s="153"/>
      <c r="AQ302" s="153"/>
      <c r="AR302" s="153"/>
      <c r="AS302" s="153"/>
      <c r="AT302" s="153"/>
      <c r="AU302" s="153"/>
      <c r="AV302" s="153"/>
      <c r="AW302" s="153"/>
      <c r="AX302" s="153"/>
      <c r="AY302" s="153"/>
      <c r="AZ302" s="153"/>
      <c r="BA302" s="153"/>
      <c r="BB302" s="153"/>
      <c r="BC302" s="153"/>
      <c r="BD302" s="153"/>
      <c r="BE302" s="153"/>
      <c r="BF302" s="153"/>
      <c r="BG302" s="153"/>
      <c r="BH302" s="153"/>
      <c r="BI302" s="153"/>
      <c r="BJ302" s="153"/>
      <c r="BK302" s="153"/>
      <c r="BL302" s="153"/>
      <c r="BM302" s="153"/>
      <c r="BN302" s="153"/>
      <c r="BO302" s="153"/>
      <c r="BP302" s="153"/>
      <c r="BQ302" s="153"/>
    </row>
    <row r="303" spans="1:69" x14ac:dyDescent="0.2">
      <c r="A303" s="153"/>
      <c r="B303" s="153"/>
      <c r="C303" s="153"/>
      <c r="D303" s="153"/>
      <c r="E303" s="153"/>
      <c r="F303" s="153"/>
      <c r="G303" s="153"/>
      <c r="H303" s="153"/>
      <c r="I303" s="153"/>
      <c r="J303" s="153"/>
      <c r="K303" s="153"/>
      <c r="L303" s="153"/>
      <c r="M303" s="153"/>
      <c r="N303" s="153"/>
      <c r="O303" s="153"/>
      <c r="P303" s="153"/>
      <c r="Q303" s="153"/>
      <c r="R303" s="153"/>
      <c r="S303" s="153"/>
      <c r="T303" s="153"/>
      <c r="U303" s="153"/>
      <c r="V303" s="153"/>
      <c r="W303" s="153"/>
      <c r="X303" s="153"/>
      <c r="Y303" s="153"/>
      <c r="Z303" s="153"/>
      <c r="AA303" s="153"/>
      <c r="AB303" s="153"/>
      <c r="AC303" s="153"/>
      <c r="AD303" s="153"/>
      <c r="AE303" s="153"/>
      <c r="AF303" s="153"/>
      <c r="AG303" s="153"/>
      <c r="AH303" s="153"/>
      <c r="AI303" s="153"/>
      <c r="AJ303" s="153"/>
      <c r="AK303" s="153"/>
      <c r="AL303" s="153"/>
      <c r="AM303" s="153"/>
      <c r="AN303" s="153"/>
      <c r="AO303" s="153"/>
      <c r="AP303" s="153"/>
      <c r="AQ303" s="153"/>
      <c r="AR303" s="153"/>
      <c r="AS303" s="153"/>
      <c r="AT303" s="153"/>
      <c r="AU303" s="153"/>
      <c r="AV303" s="153"/>
      <c r="AW303" s="153"/>
      <c r="AX303" s="153"/>
      <c r="AY303" s="153"/>
      <c r="AZ303" s="153"/>
      <c r="BA303" s="153"/>
      <c r="BB303" s="153"/>
      <c r="BC303" s="153"/>
      <c r="BD303" s="153"/>
      <c r="BE303" s="153"/>
      <c r="BF303" s="153"/>
      <c r="BG303" s="153"/>
      <c r="BH303" s="153"/>
      <c r="BI303" s="153"/>
      <c r="BJ303" s="153"/>
      <c r="BK303" s="153"/>
      <c r="BL303" s="153"/>
      <c r="BM303" s="153"/>
      <c r="BN303" s="153"/>
      <c r="BO303" s="153"/>
      <c r="BP303" s="153"/>
      <c r="BQ303" s="153"/>
    </row>
    <row r="304" spans="1:69" x14ac:dyDescent="0.2">
      <c r="A304" s="153"/>
      <c r="B304" s="153"/>
      <c r="C304" s="153"/>
      <c r="D304" s="153"/>
      <c r="E304" s="153"/>
      <c r="F304" s="153"/>
      <c r="G304" s="153"/>
      <c r="H304" s="153"/>
      <c r="I304" s="153"/>
      <c r="J304" s="153"/>
      <c r="K304" s="153"/>
      <c r="L304" s="153"/>
      <c r="M304" s="153"/>
      <c r="N304" s="153"/>
      <c r="O304" s="153"/>
      <c r="P304" s="153"/>
      <c r="Q304" s="153"/>
      <c r="R304" s="153"/>
      <c r="S304" s="153"/>
      <c r="T304" s="153"/>
      <c r="U304" s="153"/>
      <c r="V304" s="153"/>
      <c r="W304" s="153"/>
      <c r="X304" s="153"/>
      <c r="Y304" s="153"/>
      <c r="Z304" s="153"/>
      <c r="AA304" s="153"/>
      <c r="AB304" s="153"/>
      <c r="AC304" s="153"/>
      <c r="AD304" s="153"/>
      <c r="AE304" s="153"/>
      <c r="AF304" s="153"/>
      <c r="AG304" s="153"/>
      <c r="AH304" s="153"/>
      <c r="AI304" s="153"/>
      <c r="AJ304" s="153"/>
      <c r="AK304" s="153"/>
      <c r="AL304" s="153"/>
      <c r="AM304" s="153"/>
      <c r="AN304" s="153"/>
      <c r="AO304" s="153"/>
      <c r="AP304" s="153"/>
      <c r="AQ304" s="153"/>
      <c r="AR304" s="153"/>
      <c r="AS304" s="153"/>
      <c r="AT304" s="153"/>
      <c r="AU304" s="153"/>
      <c r="AV304" s="153"/>
      <c r="AW304" s="153"/>
      <c r="AX304" s="153"/>
      <c r="AY304" s="153"/>
      <c r="AZ304" s="153"/>
      <c r="BA304" s="153"/>
      <c r="BB304" s="153"/>
      <c r="BC304" s="153"/>
      <c r="BD304" s="153"/>
      <c r="BE304" s="153"/>
      <c r="BF304" s="153"/>
      <c r="BG304" s="153"/>
      <c r="BH304" s="153"/>
      <c r="BI304" s="153"/>
      <c r="BJ304" s="153"/>
      <c r="BK304" s="153"/>
      <c r="BL304" s="153"/>
      <c r="BM304" s="153"/>
      <c r="BN304" s="153"/>
      <c r="BO304" s="153"/>
      <c r="BP304" s="153"/>
      <c r="BQ304" s="153"/>
    </row>
    <row r="305" spans="1:69" x14ac:dyDescent="0.2">
      <c r="A305" s="153"/>
      <c r="B305" s="153"/>
      <c r="C305" s="153"/>
      <c r="D305" s="153"/>
      <c r="E305" s="153"/>
      <c r="F305" s="153"/>
      <c r="G305" s="153"/>
      <c r="H305" s="153"/>
      <c r="I305" s="153"/>
      <c r="J305" s="153"/>
      <c r="K305" s="153"/>
      <c r="L305" s="153"/>
      <c r="M305" s="153"/>
      <c r="N305" s="153"/>
      <c r="O305" s="153"/>
      <c r="P305" s="153"/>
      <c r="Q305" s="153"/>
      <c r="R305" s="153"/>
      <c r="S305" s="153"/>
      <c r="T305" s="153"/>
      <c r="U305" s="153"/>
      <c r="V305" s="153"/>
      <c r="W305" s="153"/>
      <c r="X305" s="153"/>
      <c r="Y305" s="153"/>
      <c r="Z305" s="153"/>
      <c r="AA305" s="153"/>
      <c r="AB305" s="153"/>
      <c r="AC305" s="153"/>
      <c r="AD305" s="153"/>
      <c r="AE305" s="153"/>
      <c r="AF305" s="153"/>
      <c r="AG305" s="153"/>
      <c r="AH305" s="153"/>
      <c r="AI305" s="153"/>
      <c r="AJ305" s="153"/>
      <c r="AK305" s="153"/>
      <c r="AL305" s="153"/>
      <c r="AM305" s="153"/>
      <c r="AN305" s="153"/>
      <c r="AO305" s="153"/>
      <c r="AP305" s="153"/>
      <c r="AQ305" s="153"/>
      <c r="AR305" s="153"/>
      <c r="AS305" s="153"/>
      <c r="AT305" s="153"/>
      <c r="AU305" s="153"/>
      <c r="AV305" s="153"/>
      <c r="AW305" s="153"/>
      <c r="AX305" s="153"/>
      <c r="AY305" s="153"/>
      <c r="AZ305" s="153"/>
      <c r="BA305" s="153"/>
      <c r="BB305" s="153"/>
      <c r="BC305" s="153"/>
      <c r="BD305" s="153"/>
      <c r="BE305" s="153"/>
      <c r="BF305" s="153"/>
      <c r="BG305" s="153"/>
      <c r="BH305" s="153"/>
      <c r="BI305" s="153"/>
      <c r="BJ305" s="153"/>
      <c r="BK305" s="153"/>
      <c r="BL305" s="153"/>
      <c r="BM305" s="153"/>
      <c r="BN305" s="153"/>
      <c r="BO305" s="153"/>
      <c r="BP305" s="153"/>
      <c r="BQ305" s="153"/>
    </row>
    <row r="306" spans="1:69" x14ac:dyDescent="0.2">
      <c r="A306" s="153"/>
      <c r="B306" s="153"/>
      <c r="C306" s="153"/>
      <c r="D306" s="153"/>
      <c r="E306" s="153"/>
      <c r="F306" s="153"/>
      <c r="G306" s="153"/>
      <c r="H306" s="153"/>
      <c r="I306" s="153"/>
      <c r="J306" s="153"/>
      <c r="K306" s="153"/>
      <c r="L306" s="153"/>
      <c r="M306" s="153"/>
      <c r="N306" s="153"/>
      <c r="O306" s="153"/>
      <c r="P306" s="153"/>
      <c r="Q306" s="153"/>
      <c r="R306" s="153"/>
      <c r="S306" s="153"/>
      <c r="T306" s="153"/>
      <c r="U306" s="153"/>
      <c r="V306" s="153"/>
      <c r="W306" s="153"/>
      <c r="X306" s="153"/>
      <c r="Y306" s="153"/>
      <c r="Z306" s="153"/>
      <c r="AA306" s="153"/>
      <c r="AB306" s="153"/>
      <c r="AC306" s="153"/>
      <c r="AD306" s="153"/>
      <c r="AE306" s="153"/>
      <c r="AF306" s="153"/>
      <c r="AG306" s="153"/>
      <c r="AH306" s="153"/>
      <c r="AI306" s="153"/>
      <c r="AJ306" s="153"/>
      <c r="AK306" s="153"/>
      <c r="AL306" s="153"/>
      <c r="AM306" s="153"/>
      <c r="AN306" s="153"/>
      <c r="AO306" s="153"/>
      <c r="AP306" s="153"/>
      <c r="AQ306" s="153"/>
      <c r="AR306" s="153"/>
      <c r="AS306" s="153"/>
      <c r="AT306" s="153"/>
      <c r="AU306" s="153"/>
      <c r="AV306" s="153"/>
      <c r="AW306" s="153"/>
      <c r="AX306" s="153"/>
      <c r="AY306" s="153"/>
      <c r="AZ306" s="153"/>
      <c r="BA306" s="153"/>
      <c r="BB306" s="153"/>
      <c r="BC306" s="153"/>
      <c r="BD306" s="153"/>
      <c r="BE306" s="153"/>
      <c r="BF306" s="153"/>
      <c r="BG306" s="153"/>
      <c r="BH306" s="153"/>
      <c r="BI306" s="153"/>
      <c r="BJ306" s="153"/>
      <c r="BK306" s="153"/>
      <c r="BL306" s="153"/>
      <c r="BM306" s="153"/>
      <c r="BN306" s="153"/>
      <c r="BO306" s="153"/>
      <c r="BP306" s="153"/>
      <c r="BQ306" s="153"/>
    </row>
    <row r="307" spans="1:69" x14ac:dyDescent="0.2">
      <c r="A307" s="153"/>
      <c r="B307" s="153"/>
      <c r="C307" s="153"/>
      <c r="D307" s="153"/>
      <c r="E307" s="153"/>
      <c r="F307" s="153"/>
      <c r="G307" s="153"/>
      <c r="H307" s="153"/>
      <c r="I307" s="153"/>
      <c r="J307" s="153"/>
      <c r="K307" s="153"/>
      <c r="L307" s="153"/>
      <c r="M307" s="153"/>
      <c r="N307" s="153"/>
      <c r="O307" s="153"/>
      <c r="P307" s="153"/>
      <c r="Q307" s="153"/>
      <c r="R307" s="153"/>
      <c r="S307" s="153"/>
      <c r="T307" s="153"/>
      <c r="U307" s="153"/>
      <c r="V307" s="153"/>
      <c r="W307" s="153"/>
      <c r="X307" s="153"/>
      <c r="Y307" s="153"/>
      <c r="Z307" s="153"/>
      <c r="AA307" s="153"/>
      <c r="AB307" s="153"/>
      <c r="AC307" s="153"/>
      <c r="AD307" s="153"/>
      <c r="AE307" s="153"/>
      <c r="AF307" s="153"/>
      <c r="AG307" s="153"/>
      <c r="AH307" s="153"/>
      <c r="AI307" s="153"/>
      <c r="AJ307" s="153"/>
      <c r="AK307" s="153"/>
      <c r="AL307" s="153"/>
      <c r="AM307" s="153"/>
      <c r="AN307" s="153"/>
      <c r="AO307" s="153"/>
      <c r="AP307" s="153"/>
      <c r="AQ307" s="153"/>
      <c r="AR307" s="153"/>
      <c r="AS307" s="153"/>
      <c r="AT307" s="153"/>
      <c r="AU307" s="153"/>
      <c r="AV307" s="153"/>
      <c r="AW307" s="153"/>
      <c r="AX307" s="153"/>
      <c r="AY307" s="153"/>
      <c r="AZ307" s="153"/>
      <c r="BA307" s="153"/>
      <c r="BB307" s="153"/>
      <c r="BC307" s="153"/>
      <c r="BD307" s="153"/>
      <c r="BE307" s="153"/>
      <c r="BF307" s="153"/>
      <c r="BG307" s="153"/>
      <c r="BH307" s="153"/>
      <c r="BI307" s="153"/>
      <c r="BJ307" s="153"/>
      <c r="BK307" s="153"/>
      <c r="BL307" s="153"/>
      <c r="BM307" s="153"/>
      <c r="BN307" s="153"/>
      <c r="BO307" s="153"/>
      <c r="BP307" s="153"/>
      <c r="BQ307" s="153"/>
    </row>
    <row r="308" spans="1:69" x14ac:dyDescent="0.2">
      <c r="A308" s="153"/>
      <c r="B308" s="153"/>
      <c r="C308" s="153"/>
      <c r="D308" s="153"/>
      <c r="E308" s="153"/>
      <c r="F308" s="153"/>
      <c r="G308" s="153"/>
      <c r="H308" s="153"/>
      <c r="I308" s="153"/>
      <c r="J308" s="153"/>
      <c r="K308" s="153"/>
      <c r="L308" s="153"/>
      <c r="M308" s="153"/>
      <c r="N308" s="153"/>
      <c r="O308" s="153"/>
      <c r="P308" s="153"/>
      <c r="Q308" s="153"/>
      <c r="R308" s="153"/>
      <c r="S308" s="153"/>
      <c r="T308" s="153"/>
      <c r="U308" s="153"/>
      <c r="V308" s="153"/>
      <c r="W308" s="153"/>
      <c r="X308" s="153"/>
      <c r="Y308" s="153"/>
      <c r="Z308" s="153"/>
      <c r="AA308" s="153"/>
      <c r="AB308" s="153"/>
      <c r="AC308" s="153"/>
      <c r="AD308" s="153"/>
      <c r="AE308" s="153"/>
      <c r="AF308" s="153"/>
      <c r="AG308" s="153"/>
      <c r="AH308" s="153"/>
      <c r="AI308" s="153"/>
      <c r="AJ308" s="153"/>
      <c r="AK308" s="153"/>
      <c r="AL308" s="153"/>
      <c r="AM308" s="153"/>
      <c r="AN308" s="153"/>
      <c r="AO308" s="153"/>
      <c r="AP308" s="153"/>
      <c r="AQ308" s="153"/>
      <c r="AR308" s="153"/>
      <c r="AS308" s="153"/>
      <c r="AT308" s="153"/>
      <c r="AU308" s="153"/>
      <c r="AV308" s="153"/>
      <c r="AW308" s="153"/>
      <c r="AX308" s="153"/>
      <c r="AY308" s="153"/>
      <c r="AZ308" s="153"/>
      <c r="BA308" s="153"/>
      <c r="BB308" s="153"/>
      <c r="BC308" s="153"/>
      <c r="BD308" s="153"/>
      <c r="BE308" s="153"/>
      <c r="BF308" s="153"/>
      <c r="BG308" s="153"/>
      <c r="BH308" s="153"/>
      <c r="BI308" s="153"/>
      <c r="BJ308" s="153"/>
      <c r="BK308" s="153"/>
      <c r="BL308" s="153"/>
      <c r="BM308" s="153"/>
      <c r="BN308" s="153"/>
      <c r="BO308" s="153"/>
      <c r="BP308" s="153"/>
      <c r="BQ308" s="153"/>
    </row>
    <row r="309" spans="1:69" x14ac:dyDescent="0.2">
      <c r="A309" s="153"/>
      <c r="B309" s="153"/>
      <c r="C309" s="153"/>
      <c r="D309" s="153"/>
      <c r="E309" s="153"/>
      <c r="F309" s="153"/>
      <c r="G309" s="153"/>
      <c r="H309" s="153"/>
      <c r="I309" s="153"/>
      <c r="J309" s="153"/>
      <c r="K309" s="153"/>
      <c r="L309" s="153"/>
      <c r="M309" s="153"/>
      <c r="N309" s="153"/>
      <c r="O309" s="153"/>
      <c r="P309" s="153"/>
      <c r="Q309" s="153"/>
      <c r="R309" s="153"/>
      <c r="S309" s="153"/>
      <c r="T309" s="153"/>
      <c r="U309" s="153"/>
      <c r="V309" s="153"/>
      <c r="W309" s="153"/>
      <c r="X309" s="153"/>
      <c r="Y309" s="153"/>
      <c r="Z309" s="153"/>
      <c r="AA309" s="153"/>
      <c r="AB309" s="153"/>
      <c r="AC309" s="153"/>
      <c r="AD309" s="153"/>
      <c r="AE309" s="153"/>
      <c r="AF309" s="153"/>
      <c r="AG309" s="153"/>
      <c r="AH309" s="153"/>
      <c r="AI309" s="153"/>
      <c r="AJ309" s="153"/>
      <c r="AK309" s="153"/>
      <c r="AL309" s="153"/>
      <c r="AM309" s="153"/>
      <c r="AN309" s="153"/>
      <c r="AO309" s="153"/>
      <c r="AP309" s="153"/>
      <c r="AQ309" s="153"/>
      <c r="AR309" s="153"/>
      <c r="AS309" s="153"/>
      <c r="AT309" s="153"/>
      <c r="AU309" s="153"/>
      <c r="AV309" s="153"/>
      <c r="AW309" s="153"/>
      <c r="AX309" s="153"/>
      <c r="AY309" s="153"/>
      <c r="AZ309" s="153"/>
      <c r="BA309" s="153"/>
      <c r="BB309" s="153"/>
      <c r="BC309" s="153"/>
      <c r="BD309" s="153"/>
      <c r="BE309" s="153"/>
      <c r="BF309" s="153"/>
      <c r="BG309" s="153"/>
      <c r="BH309" s="153"/>
      <c r="BI309" s="153"/>
      <c r="BJ309" s="153"/>
      <c r="BK309" s="153"/>
      <c r="BL309" s="153"/>
      <c r="BM309" s="153"/>
      <c r="BN309" s="153"/>
      <c r="BO309" s="153"/>
      <c r="BP309" s="153"/>
      <c r="BQ309" s="153"/>
    </row>
    <row r="310" spans="1:69" x14ac:dyDescent="0.2">
      <c r="A310" s="153"/>
      <c r="B310" s="153"/>
      <c r="C310" s="153"/>
      <c r="D310" s="153"/>
      <c r="E310" s="153"/>
      <c r="F310" s="153"/>
      <c r="G310" s="153"/>
      <c r="H310" s="153"/>
      <c r="I310" s="153"/>
      <c r="J310" s="153"/>
      <c r="K310" s="153"/>
      <c r="L310" s="153"/>
      <c r="M310" s="153"/>
      <c r="N310" s="153"/>
      <c r="O310" s="153"/>
      <c r="P310" s="153"/>
      <c r="Q310" s="153"/>
      <c r="R310" s="153"/>
      <c r="S310" s="153"/>
      <c r="T310" s="153"/>
      <c r="U310" s="153"/>
      <c r="V310" s="153"/>
      <c r="W310" s="153"/>
      <c r="X310" s="153"/>
      <c r="Y310" s="153"/>
      <c r="Z310" s="153"/>
      <c r="AA310" s="153"/>
      <c r="AB310" s="153"/>
      <c r="AC310" s="153"/>
      <c r="AD310" s="153"/>
      <c r="AE310" s="153"/>
      <c r="AF310" s="153"/>
      <c r="AG310" s="153"/>
      <c r="AH310" s="153"/>
      <c r="AI310" s="153"/>
      <c r="AJ310" s="153"/>
      <c r="AK310" s="153"/>
      <c r="AL310" s="153"/>
      <c r="AM310" s="153"/>
      <c r="AN310" s="153"/>
      <c r="AO310" s="153"/>
      <c r="AP310" s="153"/>
      <c r="AQ310" s="153"/>
      <c r="AR310" s="153"/>
      <c r="AS310" s="153"/>
      <c r="AT310" s="153"/>
      <c r="AU310" s="153"/>
      <c r="AV310" s="153"/>
      <c r="AW310" s="153"/>
      <c r="AX310" s="153"/>
      <c r="AY310" s="153"/>
      <c r="AZ310" s="153"/>
      <c r="BA310" s="153"/>
      <c r="BB310" s="153"/>
      <c r="BC310" s="153"/>
      <c r="BD310" s="153"/>
      <c r="BE310" s="153"/>
      <c r="BF310" s="153"/>
      <c r="BG310" s="153"/>
      <c r="BH310" s="153"/>
      <c r="BI310" s="153"/>
      <c r="BJ310" s="153"/>
      <c r="BK310" s="153"/>
      <c r="BL310" s="153"/>
      <c r="BM310" s="153"/>
      <c r="BN310" s="153"/>
      <c r="BO310" s="153"/>
      <c r="BP310" s="153"/>
      <c r="BQ310" s="153"/>
    </row>
    <row r="311" spans="1:69" x14ac:dyDescent="0.2">
      <c r="A311" s="153"/>
      <c r="B311" s="153"/>
      <c r="C311" s="153"/>
      <c r="D311" s="153"/>
      <c r="E311" s="153"/>
      <c r="F311" s="153"/>
      <c r="G311" s="153"/>
      <c r="H311" s="153"/>
      <c r="I311" s="153"/>
      <c r="J311" s="153"/>
      <c r="K311" s="153"/>
      <c r="L311" s="153"/>
      <c r="M311" s="153"/>
      <c r="N311" s="153"/>
      <c r="O311" s="153"/>
      <c r="P311" s="153"/>
      <c r="Q311" s="153"/>
      <c r="R311" s="153"/>
      <c r="S311" s="153"/>
      <c r="T311" s="153"/>
      <c r="U311" s="153"/>
      <c r="V311" s="153"/>
      <c r="W311" s="153"/>
      <c r="X311" s="153"/>
      <c r="Y311" s="153"/>
      <c r="Z311" s="153"/>
      <c r="AA311" s="153"/>
      <c r="AB311" s="153"/>
      <c r="AC311" s="153"/>
      <c r="AD311" s="153"/>
      <c r="AE311" s="153"/>
      <c r="AF311" s="153"/>
      <c r="AG311" s="153"/>
      <c r="AH311" s="153"/>
      <c r="AI311" s="153"/>
      <c r="AJ311" s="153"/>
      <c r="AK311" s="153"/>
      <c r="AL311" s="153"/>
      <c r="AM311" s="153"/>
      <c r="AN311" s="153"/>
      <c r="AO311" s="153"/>
      <c r="AP311" s="153"/>
      <c r="AQ311" s="153"/>
      <c r="AR311" s="153"/>
      <c r="AS311" s="153"/>
      <c r="AT311" s="153"/>
      <c r="AU311" s="153"/>
      <c r="AV311" s="153"/>
      <c r="AW311" s="153"/>
      <c r="AX311" s="153"/>
      <c r="AY311" s="153"/>
      <c r="AZ311" s="153"/>
      <c r="BA311" s="153"/>
      <c r="BB311" s="153"/>
      <c r="BC311" s="153"/>
      <c r="BD311" s="153"/>
      <c r="BE311" s="153"/>
      <c r="BF311" s="153"/>
      <c r="BG311" s="153"/>
      <c r="BH311" s="153"/>
      <c r="BI311" s="153"/>
      <c r="BJ311" s="153"/>
      <c r="BK311" s="153"/>
      <c r="BL311" s="153"/>
      <c r="BM311" s="153"/>
      <c r="BN311" s="153"/>
      <c r="BO311" s="153"/>
      <c r="BP311" s="153"/>
      <c r="BQ311" s="153"/>
    </row>
    <row r="312" spans="1:69" x14ac:dyDescent="0.2">
      <c r="A312" s="153"/>
      <c r="B312" s="153"/>
      <c r="C312" s="153"/>
      <c r="D312" s="153"/>
      <c r="E312" s="153"/>
      <c r="F312" s="153"/>
      <c r="G312" s="153"/>
      <c r="H312" s="153"/>
      <c r="I312" s="153"/>
      <c r="J312" s="153"/>
      <c r="K312" s="153"/>
      <c r="L312" s="153"/>
      <c r="M312" s="153"/>
      <c r="N312" s="153"/>
      <c r="O312" s="153"/>
      <c r="P312" s="153"/>
      <c r="Q312" s="153"/>
      <c r="R312" s="153"/>
      <c r="S312" s="153"/>
      <c r="T312" s="153"/>
      <c r="U312" s="153"/>
      <c r="V312" s="153"/>
      <c r="W312" s="153"/>
      <c r="X312" s="153"/>
      <c r="Y312" s="153"/>
      <c r="Z312" s="153"/>
      <c r="AA312" s="153"/>
      <c r="AB312" s="153"/>
      <c r="AC312" s="153"/>
      <c r="AD312" s="153"/>
      <c r="AE312" s="153"/>
      <c r="AF312" s="153"/>
      <c r="AG312" s="153"/>
      <c r="AH312" s="153"/>
      <c r="AI312" s="153"/>
      <c r="AJ312" s="153"/>
      <c r="AK312" s="153"/>
      <c r="AL312" s="153"/>
      <c r="AM312" s="153"/>
      <c r="AN312" s="153"/>
      <c r="AO312" s="153"/>
      <c r="AP312" s="153"/>
      <c r="AQ312" s="153"/>
      <c r="AR312" s="153"/>
      <c r="AS312" s="153"/>
      <c r="AT312" s="153"/>
      <c r="AU312" s="153"/>
      <c r="AV312" s="153"/>
      <c r="AW312" s="153"/>
      <c r="AX312" s="153"/>
      <c r="AY312" s="153"/>
      <c r="AZ312" s="153"/>
      <c r="BA312" s="153"/>
      <c r="BB312" s="153"/>
      <c r="BC312" s="153"/>
      <c r="BD312" s="153"/>
      <c r="BE312" s="153"/>
      <c r="BF312" s="153"/>
      <c r="BG312" s="153"/>
      <c r="BH312" s="153"/>
      <c r="BI312" s="153"/>
      <c r="BJ312" s="153"/>
      <c r="BK312" s="153"/>
      <c r="BL312" s="153"/>
      <c r="BM312" s="153"/>
      <c r="BN312" s="153"/>
      <c r="BO312" s="153"/>
      <c r="BP312" s="153"/>
      <c r="BQ312" s="153"/>
    </row>
    <row r="313" spans="1:69" x14ac:dyDescent="0.2">
      <c r="A313" s="153"/>
      <c r="B313" s="153"/>
      <c r="C313" s="153"/>
      <c r="D313" s="153"/>
      <c r="E313" s="153"/>
      <c r="F313" s="153"/>
      <c r="G313" s="153"/>
      <c r="H313" s="153"/>
      <c r="I313" s="153"/>
      <c r="J313" s="153"/>
      <c r="K313" s="153"/>
      <c r="L313" s="153"/>
      <c r="M313" s="153"/>
      <c r="N313" s="153"/>
      <c r="O313" s="153"/>
      <c r="P313" s="153"/>
      <c r="Q313" s="153"/>
      <c r="R313" s="153"/>
      <c r="S313" s="153"/>
      <c r="T313" s="153"/>
      <c r="U313" s="153"/>
      <c r="V313" s="153"/>
      <c r="W313" s="153"/>
      <c r="X313" s="153"/>
      <c r="Y313" s="153"/>
      <c r="Z313" s="153"/>
      <c r="AA313" s="153"/>
      <c r="AB313" s="153"/>
      <c r="AC313" s="153"/>
      <c r="AD313" s="153"/>
      <c r="AE313" s="153"/>
      <c r="AF313" s="153"/>
      <c r="AG313" s="153"/>
      <c r="AH313" s="153"/>
      <c r="AI313" s="153"/>
      <c r="AJ313" s="153"/>
      <c r="AK313" s="153"/>
      <c r="AL313" s="153"/>
      <c r="AM313" s="153"/>
      <c r="AN313" s="153"/>
      <c r="AO313" s="153"/>
      <c r="AP313" s="153"/>
      <c r="AQ313" s="153"/>
      <c r="AR313" s="153"/>
      <c r="AS313" s="153"/>
      <c r="AT313" s="153"/>
      <c r="AU313" s="153"/>
      <c r="AV313" s="153"/>
      <c r="AW313" s="153"/>
      <c r="AX313" s="153"/>
      <c r="AY313" s="153"/>
      <c r="AZ313" s="153"/>
      <c r="BA313" s="153"/>
      <c r="BB313" s="153"/>
      <c r="BC313" s="153"/>
      <c r="BD313" s="153"/>
      <c r="BE313" s="153"/>
      <c r="BF313" s="153"/>
      <c r="BG313" s="153"/>
      <c r="BH313" s="153"/>
      <c r="BI313" s="153"/>
      <c r="BJ313" s="153"/>
      <c r="BK313" s="153"/>
      <c r="BL313" s="153"/>
      <c r="BM313" s="153"/>
      <c r="BN313" s="153"/>
      <c r="BO313" s="153"/>
      <c r="BP313" s="153"/>
      <c r="BQ313" s="153"/>
    </row>
    <row r="314" spans="1:69" x14ac:dyDescent="0.2">
      <c r="A314" s="153"/>
      <c r="B314" s="153"/>
      <c r="C314" s="153"/>
      <c r="D314" s="153"/>
      <c r="E314" s="153"/>
      <c r="F314" s="153"/>
      <c r="G314" s="153"/>
      <c r="H314" s="153"/>
      <c r="I314" s="153"/>
      <c r="J314" s="153"/>
      <c r="K314" s="153"/>
      <c r="L314" s="153"/>
      <c r="M314" s="153"/>
      <c r="N314" s="153"/>
      <c r="O314" s="153"/>
      <c r="P314" s="153"/>
      <c r="Q314" s="153"/>
      <c r="R314" s="153"/>
      <c r="S314" s="153"/>
      <c r="T314" s="153"/>
      <c r="U314" s="153"/>
      <c r="V314" s="153"/>
      <c r="W314" s="153"/>
      <c r="X314" s="153"/>
      <c r="Y314" s="153"/>
      <c r="Z314" s="153"/>
      <c r="AA314" s="153"/>
      <c r="AB314" s="153"/>
      <c r="AC314" s="153"/>
      <c r="AD314" s="153"/>
      <c r="AE314" s="153"/>
      <c r="AF314" s="153"/>
      <c r="AG314" s="153"/>
      <c r="AH314" s="153"/>
      <c r="AI314" s="153"/>
      <c r="AJ314" s="153"/>
      <c r="AK314" s="153"/>
      <c r="AL314" s="153"/>
      <c r="AM314" s="153"/>
      <c r="AN314" s="153"/>
      <c r="AO314" s="153"/>
      <c r="AP314" s="153"/>
      <c r="AQ314" s="153"/>
      <c r="AR314" s="153"/>
      <c r="AS314" s="153"/>
      <c r="AT314" s="153"/>
      <c r="AU314" s="153"/>
      <c r="AV314" s="153"/>
      <c r="AW314" s="153"/>
      <c r="AX314" s="153"/>
      <c r="AY314" s="153"/>
      <c r="AZ314" s="153"/>
      <c r="BA314" s="153"/>
      <c r="BB314" s="153"/>
      <c r="BC314" s="153"/>
      <c r="BD314" s="153"/>
      <c r="BE314" s="153"/>
      <c r="BF314" s="153"/>
      <c r="BG314" s="153"/>
      <c r="BH314" s="153"/>
      <c r="BI314" s="153"/>
      <c r="BJ314" s="153"/>
      <c r="BK314" s="153"/>
      <c r="BL314" s="153"/>
      <c r="BM314" s="153"/>
      <c r="BN314" s="153"/>
      <c r="BO314" s="153"/>
      <c r="BP314" s="153"/>
      <c r="BQ314" s="153"/>
    </row>
    <row r="315" spans="1:69" x14ac:dyDescent="0.2">
      <c r="A315" s="153"/>
      <c r="B315" s="153"/>
      <c r="C315" s="153"/>
      <c r="D315" s="153"/>
      <c r="E315" s="153"/>
      <c r="F315" s="153"/>
      <c r="G315" s="153"/>
      <c r="H315" s="153"/>
      <c r="I315" s="153"/>
      <c r="J315" s="153"/>
      <c r="K315" s="153"/>
      <c r="L315" s="153"/>
      <c r="M315" s="153"/>
      <c r="N315" s="153"/>
      <c r="O315" s="153"/>
      <c r="P315" s="153"/>
      <c r="Q315" s="153"/>
      <c r="R315" s="153"/>
      <c r="S315" s="153"/>
      <c r="T315" s="153"/>
      <c r="U315" s="153"/>
      <c r="V315" s="153"/>
      <c r="W315" s="153"/>
      <c r="X315" s="153"/>
      <c r="Y315" s="153"/>
      <c r="Z315" s="153"/>
      <c r="AA315" s="153"/>
      <c r="AB315" s="153"/>
      <c r="AC315" s="153"/>
      <c r="AD315" s="153"/>
      <c r="AE315" s="153"/>
      <c r="AF315" s="153"/>
      <c r="AG315" s="153"/>
      <c r="AH315" s="153"/>
      <c r="AI315" s="153"/>
      <c r="AJ315" s="153"/>
      <c r="AK315" s="153"/>
      <c r="AL315" s="153"/>
      <c r="AM315" s="153"/>
      <c r="AN315" s="153"/>
      <c r="AO315" s="153"/>
      <c r="AP315" s="153"/>
      <c r="AQ315" s="153"/>
      <c r="AR315" s="153"/>
      <c r="AS315" s="153"/>
      <c r="AT315" s="153"/>
      <c r="AU315" s="153"/>
      <c r="AV315" s="153"/>
      <c r="AW315" s="153"/>
      <c r="AX315" s="153"/>
      <c r="AY315" s="153"/>
      <c r="AZ315" s="153"/>
      <c r="BA315" s="153"/>
      <c r="BB315" s="153"/>
      <c r="BC315" s="153"/>
      <c r="BD315" s="153"/>
      <c r="BE315" s="153"/>
      <c r="BF315" s="153"/>
      <c r="BG315" s="153"/>
      <c r="BH315" s="153"/>
      <c r="BI315" s="153"/>
      <c r="BJ315" s="153"/>
      <c r="BK315" s="153"/>
      <c r="BL315" s="153"/>
      <c r="BM315" s="153"/>
      <c r="BN315" s="153"/>
      <c r="BO315" s="153"/>
      <c r="BP315" s="153"/>
      <c r="BQ315" s="153"/>
    </row>
    <row r="316" spans="1:69" x14ac:dyDescent="0.2">
      <c r="A316" s="153"/>
      <c r="B316" s="153"/>
      <c r="C316" s="153"/>
      <c r="D316" s="153"/>
      <c r="E316" s="153"/>
      <c r="F316" s="153"/>
      <c r="G316" s="153"/>
      <c r="H316" s="153"/>
      <c r="I316" s="153"/>
      <c r="J316" s="153"/>
      <c r="K316" s="153"/>
      <c r="L316" s="153"/>
      <c r="M316" s="153"/>
      <c r="N316" s="153"/>
      <c r="O316" s="153"/>
      <c r="P316" s="153"/>
      <c r="Q316" s="153"/>
      <c r="R316" s="153"/>
      <c r="S316" s="153"/>
      <c r="T316" s="153"/>
      <c r="U316" s="153"/>
      <c r="V316" s="153"/>
      <c r="W316" s="153"/>
      <c r="X316" s="153"/>
      <c r="Y316" s="153"/>
      <c r="Z316" s="153"/>
      <c r="AA316" s="153"/>
      <c r="AB316" s="153"/>
      <c r="AC316" s="153"/>
      <c r="AD316" s="153"/>
      <c r="AE316" s="153"/>
      <c r="AF316" s="153"/>
      <c r="AG316" s="153"/>
      <c r="AH316" s="153"/>
      <c r="AI316" s="153"/>
      <c r="AJ316" s="153"/>
      <c r="AK316" s="153"/>
      <c r="AL316" s="153"/>
      <c r="AM316" s="153"/>
      <c r="AN316" s="153"/>
      <c r="AO316" s="153"/>
      <c r="AP316" s="153"/>
      <c r="AQ316" s="153"/>
      <c r="AR316" s="153"/>
      <c r="AS316" s="153"/>
      <c r="AT316" s="153"/>
      <c r="AU316" s="153"/>
      <c r="AV316" s="153"/>
      <c r="AW316" s="153"/>
      <c r="AX316" s="153"/>
      <c r="AY316" s="153"/>
      <c r="AZ316" s="153"/>
      <c r="BA316" s="153"/>
      <c r="BB316" s="153"/>
      <c r="BC316" s="153"/>
      <c r="BD316" s="153"/>
      <c r="BE316" s="153"/>
      <c r="BF316" s="153"/>
      <c r="BG316" s="153"/>
      <c r="BH316" s="153"/>
      <c r="BI316" s="153"/>
      <c r="BJ316" s="153"/>
      <c r="BK316" s="153"/>
      <c r="BL316" s="153"/>
      <c r="BM316" s="153"/>
      <c r="BN316" s="153"/>
      <c r="BO316" s="153"/>
      <c r="BP316" s="153"/>
      <c r="BQ316" s="153"/>
    </row>
    <row r="317" spans="1:69" x14ac:dyDescent="0.2">
      <c r="A317" s="153"/>
      <c r="B317" s="153"/>
      <c r="C317" s="153"/>
      <c r="D317" s="153"/>
      <c r="E317" s="153"/>
      <c r="F317" s="153"/>
      <c r="G317" s="153"/>
      <c r="H317" s="153"/>
      <c r="I317" s="153"/>
      <c r="J317" s="153"/>
      <c r="K317" s="153"/>
      <c r="L317" s="153"/>
      <c r="M317" s="153"/>
      <c r="N317" s="153"/>
      <c r="O317" s="153"/>
      <c r="P317" s="153"/>
      <c r="Q317" s="153"/>
      <c r="R317" s="153"/>
      <c r="S317" s="153"/>
      <c r="T317" s="153"/>
      <c r="U317" s="153"/>
      <c r="V317" s="153"/>
      <c r="W317" s="153"/>
      <c r="X317" s="153"/>
      <c r="Y317" s="153"/>
      <c r="Z317" s="153"/>
      <c r="AA317" s="153"/>
      <c r="AB317" s="153"/>
      <c r="AC317" s="153"/>
      <c r="AD317" s="153"/>
      <c r="AE317" s="153"/>
      <c r="AF317" s="153"/>
      <c r="AG317" s="153"/>
      <c r="AH317" s="153"/>
      <c r="AI317" s="153"/>
      <c r="AJ317" s="153"/>
      <c r="AK317" s="153"/>
      <c r="AL317" s="153"/>
      <c r="AM317" s="153"/>
      <c r="AN317" s="153"/>
      <c r="AO317" s="153"/>
      <c r="AP317" s="153"/>
      <c r="AQ317" s="153"/>
      <c r="AR317" s="153"/>
      <c r="AS317" s="153"/>
      <c r="AT317" s="153"/>
      <c r="AU317" s="153"/>
      <c r="AV317" s="153"/>
      <c r="AW317" s="153"/>
      <c r="AX317" s="153"/>
      <c r="AY317" s="153"/>
      <c r="AZ317" s="153"/>
      <c r="BA317" s="153"/>
      <c r="BB317" s="153"/>
      <c r="BC317" s="153"/>
      <c r="BD317" s="153"/>
      <c r="BE317" s="153"/>
      <c r="BF317" s="153"/>
      <c r="BG317" s="153"/>
      <c r="BH317" s="153"/>
      <c r="BI317" s="153"/>
      <c r="BJ317" s="153"/>
      <c r="BK317" s="153"/>
      <c r="BL317" s="153"/>
      <c r="BM317" s="153"/>
      <c r="BN317" s="153"/>
      <c r="BO317" s="153"/>
      <c r="BP317" s="153"/>
      <c r="BQ317" s="153"/>
    </row>
    <row r="318" spans="1:69" x14ac:dyDescent="0.2">
      <c r="A318" s="153"/>
      <c r="B318" s="153"/>
      <c r="C318" s="153"/>
      <c r="D318" s="153"/>
      <c r="E318" s="153"/>
      <c r="F318" s="153"/>
      <c r="G318" s="153"/>
      <c r="H318" s="153"/>
      <c r="I318" s="153"/>
      <c r="J318" s="153"/>
      <c r="K318" s="153"/>
      <c r="L318" s="153"/>
      <c r="M318" s="153"/>
      <c r="N318" s="153"/>
      <c r="O318" s="153"/>
      <c r="P318" s="153"/>
      <c r="Q318" s="153"/>
      <c r="R318" s="153"/>
      <c r="S318" s="153"/>
      <c r="T318" s="153"/>
      <c r="U318" s="153"/>
      <c r="V318" s="153"/>
      <c r="W318" s="153"/>
      <c r="X318" s="153"/>
      <c r="Y318" s="153"/>
      <c r="Z318" s="153"/>
      <c r="AA318" s="153"/>
      <c r="AB318" s="153"/>
      <c r="AC318" s="153"/>
      <c r="AD318" s="153"/>
      <c r="AE318" s="153"/>
      <c r="AF318" s="153"/>
      <c r="AG318" s="153"/>
      <c r="AH318" s="153"/>
      <c r="AI318" s="153"/>
      <c r="AJ318" s="153"/>
      <c r="AK318" s="153"/>
      <c r="AL318" s="153"/>
      <c r="AM318" s="153"/>
      <c r="AN318" s="153"/>
      <c r="AO318" s="153"/>
      <c r="AP318" s="153"/>
      <c r="AQ318" s="153"/>
      <c r="AR318" s="153"/>
      <c r="AS318" s="153"/>
      <c r="AT318" s="153"/>
      <c r="AU318" s="153"/>
      <c r="AV318" s="153"/>
      <c r="AW318" s="153"/>
      <c r="AX318" s="153"/>
      <c r="AY318" s="153"/>
      <c r="AZ318" s="153"/>
      <c r="BA318" s="153"/>
      <c r="BB318" s="153"/>
      <c r="BC318" s="153"/>
      <c r="BD318" s="153"/>
      <c r="BE318" s="153"/>
      <c r="BF318" s="153"/>
      <c r="BG318" s="153"/>
      <c r="BH318" s="153"/>
      <c r="BI318" s="153"/>
      <c r="BJ318" s="153"/>
      <c r="BK318" s="153"/>
      <c r="BL318" s="153"/>
      <c r="BM318" s="153"/>
      <c r="BN318" s="153"/>
      <c r="BO318" s="153"/>
      <c r="BP318" s="153"/>
      <c r="BQ318" s="153"/>
    </row>
    <row r="319" spans="1:69" x14ac:dyDescent="0.2">
      <c r="A319" s="153"/>
      <c r="B319" s="153"/>
      <c r="C319" s="153"/>
      <c r="D319" s="153"/>
      <c r="E319" s="153"/>
      <c r="F319" s="153"/>
      <c r="G319" s="153"/>
      <c r="H319" s="153"/>
      <c r="I319" s="153"/>
      <c r="J319" s="153"/>
      <c r="K319" s="153"/>
      <c r="L319" s="153"/>
      <c r="M319" s="153"/>
      <c r="N319" s="153"/>
      <c r="O319" s="153"/>
      <c r="P319" s="153"/>
      <c r="Q319" s="153"/>
      <c r="R319" s="153"/>
      <c r="S319" s="153"/>
      <c r="T319" s="153"/>
      <c r="U319" s="153"/>
      <c r="V319" s="153"/>
      <c r="W319" s="153"/>
      <c r="X319" s="153"/>
      <c r="Y319" s="153"/>
      <c r="Z319" s="153"/>
      <c r="AA319" s="153"/>
      <c r="AB319" s="153"/>
      <c r="AC319" s="153"/>
      <c r="AD319" s="153"/>
      <c r="AE319" s="153"/>
      <c r="AF319" s="153"/>
      <c r="AG319" s="153"/>
      <c r="AH319" s="153"/>
      <c r="AI319" s="153"/>
      <c r="AJ319" s="153"/>
      <c r="AK319" s="153"/>
      <c r="AL319" s="153"/>
      <c r="AM319" s="153"/>
      <c r="AN319" s="153"/>
      <c r="AO319" s="153"/>
      <c r="AP319" s="153"/>
      <c r="AQ319" s="153"/>
      <c r="AR319" s="153"/>
      <c r="AS319" s="153"/>
      <c r="AT319" s="153"/>
      <c r="AU319" s="153"/>
      <c r="AV319" s="153"/>
      <c r="AW319" s="153"/>
      <c r="AX319" s="153"/>
      <c r="AY319" s="153"/>
      <c r="AZ319" s="153"/>
      <c r="BA319" s="153"/>
      <c r="BB319" s="153"/>
      <c r="BC319" s="153"/>
      <c r="BD319" s="153"/>
      <c r="BE319" s="153"/>
      <c r="BF319" s="153"/>
      <c r="BG319" s="153"/>
      <c r="BH319" s="153"/>
      <c r="BI319" s="153"/>
      <c r="BJ319" s="153"/>
      <c r="BK319" s="153"/>
      <c r="BL319" s="153"/>
      <c r="BM319" s="153"/>
      <c r="BN319" s="153"/>
      <c r="BO319" s="153"/>
      <c r="BP319" s="153"/>
      <c r="BQ319" s="153"/>
    </row>
    <row r="320" spans="1:69" x14ac:dyDescent="0.2">
      <c r="A320" s="153"/>
      <c r="B320" s="153"/>
      <c r="C320" s="153"/>
      <c r="D320" s="153"/>
      <c r="E320" s="153"/>
      <c r="F320" s="153"/>
      <c r="G320" s="153"/>
      <c r="H320" s="153"/>
      <c r="I320" s="153"/>
      <c r="J320" s="153"/>
      <c r="K320" s="153"/>
      <c r="L320" s="153"/>
      <c r="M320" s="153"/>
      <c r="N320" s="153"/>
      <c r="O320" s="153"/>
      <c r="P320" s="153"/>
      <c r="Q320" s="153"/>
      <c r="R320" s="153"/>
      <c r="S320" s="153"/>
      <c r="T320" s="153"/>
      <c r="U320" s="153"/>
      <c r="V320" s="153"/>
      <c r="W320" s="153"/>
      <c r="X320" s="153"/>
      <c r="Y320" s="153"/>
      <c r="Z320" s="153"/>
      <c r="AA320" s="153"/>
      <c r="AB320" s="153"/>
      <c r="AC320" s="153"/>
      <c r="AD320" s="153"/>
      <c r="AE320" s="153"/>
      <c r="AF320" s="153"/>
      <c r="AG320" s="153"/>
      <c r="AH320" s="153"/>
      <c r="AI320" s="153"/>
      <c r="AJ320" s="153"/>
      <c r="AK320" s="153"/>
      <c r="AL320" s="153"/>
      <c r="AM320" s="153"/>
      <c r="AN320" s="153"/>
      <c r="AO320" s="153"/>
      <c r="AP320" s="153"/>
      <c r="AQ320" s="153"/>
      <c r="AR320" s="153"/>
      <c r="AS320" s="153"/>
      <c r="AT320" s="153"/>
      <c r="AU320" s="153"/>
      <c r="AV320" s="153"/>
      <c r="AW320" s="153"/>
      <c r="AX320" s="153"/>
      <c r="AY320" s="153"/>
      <c r="AZ320" s="153"/>
      <c r="BA320" s="153"/>
      <c r="BB320" s="153"/>
      <c r="BC320" s="153"/>
      <c r="BD320" s="153"/>
      <c r="BE320" s="153"/>
      <c r="BF320" s="153"/>
      <c r="BG320" s="153"/>
      <c r="BH320" s="153"/>
      <c r="BI320" s="153"/>
      <c r="BJ320" s="153"/>
      <c r="BK320" s="153"/>
      <c r="BL320" s="153"/>
      <c r="BM320" s="153"/>
      <c r="BN320" s="153"/>
      <c r="BO320" s="153"/>
      <c r="BP320" s="153"/>
      <c r="BQ320" s="153"/>
    </row>
    <row r="321" spans="1:69" x14ac:dyDescent="0.2">
      <c r="A321" s="153"/>
      <c r="B321" s="153"/>
      <c r="C321" s="153"/>
      <c r="D321" s="153"/>
      <c r="E321" s="153"/>
      <c r="F321" s="153"/>
      <c r="G321" s="153"/>
      <c r="H321" s="153"/>
      <c r="I321" s="153"/>
      <c r="J321" s="153"/>
      <c r="K321" s="153"/>
      <c r="L321" s="153"/>
      <c r="M321" s="153"/>
      <c r="N321" s="153"/>
      <c r="O321" s="153"/>
      <c r="P321" s="153"/>
      <c r="Q321" s="153"/>
      <c r="R321" s="153"/>
      <c r="S321" s="153"/>
      <c r="T321" s="153"/>
      <c r="U321" s="153"/>
      <c r="V321" s="153"/>
      <c r="W321" s="153"/>
      <c r="X321" s="153"/>
      <c r="Y321" s="153"/>
      <c r="Z321" s="153"/>
      <c r="AA321" s="153"/>
      <c r="AB321" s="153"/>
      <c r="AC321" s="153"/>
      <c r="AD321" s="153"/>
      <c r="AE321" s="153"/>
      <c r="AF321" s="153"/>
      <c r="AG321" s="153"/>
      <c r="AH321" s="153"/>
      <c r="AI321" s="153"/>
      <c r="AJ321" s="153"/>
      <c r="AK321" s="153"/>
      <c r="AL321" s="153"/>
      <c r="AM321" s="153"/>
      <c r="AN321" s="153"/>
      <c r="AO321" s="153"/>
      <c r="AP321" s="153"/>
      <c r="AQ321" s="153"/>
      <c r="AR321" s="153"/>
      <c r="AS321" s="153"/>
      <c r="AT321" s="153"/>
      <c r="AU321" s="153"/>
      <c r="AV321" s="153"/>
      <c r="AW321" s="153"/>
      <c r="AX321" s="153"/>
      <c r="AY321" s="153"/>
      <c r="AZ321" s="153"/>
      <c r="BA321" s="153"/>
      <c r="BB321" s="153"/>
      <c r="BC321" s="153"/>
      <c r="BD321" s="153"/>
      <c r="BE321" s="153"/>
      <c r="BF321" s="153"/>
      <c r="BG321" s="153"/>
      <c r="BH321" s="153"/>
      <c r="BI321" s="153"/>
      <c r="BJ321" s="153"/>
      <c r="BK321" s="153"/>
      <c r="BL321" s="153"/>
      <c r="BM321" s="153"/>
      <c r="BN321" s="153"/>
      <c r="BO321" s="153"/>
      <c r="BP321" s="153"/>
      <c r="BQ321" s="153"/>
    </row>
    <row r="322" spans="1:69" x14ac:dyDescent="0.2">
      <c r="A322" s="153"/>
      <c r="B322" s="153"/>
      <c r="C322" s="153"/>
      <c r="D322" s="153"/>
      <c r="E322" s="153"/>
      <c r="F322" s="153"/>
      <c r="G322" s="153"/>
      <c r="H322" s="153"/>
      <c r="I322" s="153"/>
      <c r="J322" s="153"/>
      <c r="K322" s="153"/>
      <c r="L322" s="153"/>
      <c r="M322" s="153"/>
      <c r="N322" s="153"/>
      <c r="O322" s="153"/>
      <c r="P322" s="153"/>
      <c r="Q322" s="153"/>
      <c r="R322" s="153"/>
      <c r="S322" s="153"/>
      <c r="T322" s="153"/>
      <c r="U322" s="153"/>
      <c r="V322" s="153"/>
      <c r="W322" s="153"/>
      <c r="X322" s="153"/>
      <c r="Y322" s="153"/>
      <c r="Z322" s="153"/>
      <c r="AA322" s="153"/>
      <c r="AB322" s="153"/>
      <c r="AC322" s="153"/>
      <c r="AD322" s="153"/>
      <c r="AE322" s="153"/>
      <c r="AF322" s="153"/>
      <c r="AG322" s="153"/>
      <c r="AH322" s="153"/>
      <c r="AI322" s="153"/>
      <c r="AJ322" s="153"/>
      <c r="AK322" s="153"/>
      <c r="AL322" s="153"/>
      <c r="AM322" s="153"/>
      <c r="AN322" s="153"/>
      <c r="AO322" s="153"/>
      <c r="AP322" s="153"/>
      <c r="AQ322" s="153"/>
      <c r="AR322" s="153"/>
      <c r="AS322" s="153"/>
      <c r="AT322" s="153"/>
      <c r="AU322" s="153"/>
      <c r="AV322" s="153"/>
      <c r="AW322" s="153"/>
      <c r="AX322" s="153"/>
      <c r="AY322" s="153"/>
      <c r="AZ322" s="153"/>
      <c r="BA322" s="153"/>
      <c r="BB322" s="153"/>
      <c r="BC322" s="153"/>
      <c r="BD322" s="153"/>
      <c r="BE322" s="153"/>
      <c r="BF322" s="153"/>
      <c r="BG322" s="153"/>
      <c r="BH322" s="153"/>
      <c r="BI322" s="153"/>
      <c r="BJ322" s="153"/>
      <c r="BK322" s="153"/>
      <c r="BL322" s="153"/>
      <c r="BM322" s="153"/>
      <c r="BN322" s="153"/>
      <c r="BO322" s="153"/>
      <c r="BP322" s="153"/>
      <c r="BQ322" s="153"/>
    </row>
    <row r="323" spans="1:69" x14ac:dyDescent="0.2">
      <c r="A323" s="153"/>
      <c r="B323" s="153"/>
      <c r="C323" s="153"/>
      <c r="D323" s="153"/>
      <c r="E323" s="153"/>
      <c r="F323" s="153"/>
      <c r="G323" s="153"/>
      <c r="H323" s="153"/>
      <c r="I323" s="153"/>
      <c r="J323" s="153"/>
      <c r="K323" s="153"/>
      <c r="L323" s="153"/>
      <c r="M323" s="153"/>
      <c r="N323" s="153"/>
      <c r="O323" s="153"/>
      <c r="P323" s="153"/>
      <c r="Q323" s="153"/>
      <c r="R323" s="153"/>
      <c r="S323" s="153"/>
      <c r="T323" s="153"/>
      <c r="U323" s="153"/>
      <c r="V323" s="153"/>
      <c r="W323" s="153"/>
      <c r="X323" s="153"/>
      <c r="Y323" s="153"/>
      <c r="Z323" s="153"/>
      <c r="AA323" s="153"/>
      <c r="AB323" s="153"/>
      <c r="AC323" s="153"/>
      <c r="AD323" s="153"/>
      <c r="AE323" s="153"/>
      <c r="AF323" s="153"/>
      <c r="AG323" s="153"/>
      <c r="AH323" s="153"/>
      <c r="AI323" s="153"/>
      <c r="AJ323" s="153"/>
      <c r="AK323" s="153"/>
      <c r="AL323" s="153"/>
      <c r="AM323" s="153"/>
      <c r="AN323" s="153"/>
      <c r="AO323" s="153"/>
      <c r="AP323" s="153"/>
      <c r="AQ323" s="153"/>
      <c r="AR323" s="153"/>
      <c r="AS323" s="153"/>
      <c r="AT323" s="153"/>
      <c r="AU323" s="153"/>
      <c r="AV323" s="153"/>
      <c r="AW323" s="153"/>
      <c r="AX323" s="153"/>
      <c r="AY323" s="153"/>
      <c r="AZ323" s="153"/>
      <c r="BA323" s="153"/>
      <c r="BB323" s="153"/>
      <c r="BC323" s="153"/>
      <c r="BD323" s="153"/>
      <c r="BE323" s="153"/>
      <c r="BF323" s="153"/>
      <c r="BG323" s="153"/>
      <c r="BH323" s="153"/>
      <c r="BI323" s="153"/>
      <c r="BJ323" s="153"/>
      <c r="BK323" s="153"/>
      <c r="BL323" s="153"/>
      <c r="BM323" s="153"/>
      <c r="BN323" s="153"/>
      <c r="BO323" s="153"/>
      <c r="BP323" s="153"/>
      <c r="BQ323" s="153"/>
    </row>
    <row r="324" spans="1:69" x14ac:dyDescent="0.2">
      <c r="A324" s="153"/>
      <c r="B324" s="153"/>
      <c r="C324" s="153"/>
      <c r="D324" s="153"/>
      <c r="E324" s="153"/>
      <c r="F324" s="153"/>
      <c r="G324" s="153"/>
      <c r="H324" s="153"/>
      <c r="I324" s="153"/>
      <c r="J324" s="153"/>
      <c r="K324" s="153"/>
      <c r="L324" s="153"/>
      <c r="M324" s="153"/>
      <c r="N324" s="153"/>
      <c r="O324" s="153"/>
      <c r="P324" s="153"/>
      <c r="Q324" s="153"/>
      <c r="R324" s="153"/>
      <c r="S324" s="153"/>
      <c r="T324" s="153"/>
      <c r="U324" s="153"/>
      <c r="V324" s="153"/>
      <c r="W324" s="153"/>
      <c r="X324" s="153"/>
      <c r="Y324" s="153"/>
      <c r="Z324" s="153"/>
      <c r="AA324" s="153"/>
      <c r="AB324" s="153"/>
      <c r="AC324" s="153"/>
      <c r="AD324" s="153"/>
      <c r="AE324" s="153"/>
      <c r="AF324" s="153"/>
      <c r="AG324" s="153"/>
      <c r="AH324" s="153"/>
      <c r="AI324" s="153"/>
      <c r="AJ324" s="153"/>
      <c r="AK324" s="153"/>
      <c r="AL324" s="153"/>
      <c r="AM324" s="153"/>
      <c r="AN324" s="153"/>
      <c r="AO324" s="153"/>
      <c r="AP324" s="153"/>
      <c r="AQ324" s="153"/>
      <c r="AR324" s="153"/>
      <c r="AS324" s="153"/>
      <c r="AT324" s="153"/>
      <c r="AU324" s="153"/>
      <c r="AV324" s="153"/>
      <c r="AW324" s="153"/>
      <c r="AX324" s="153"/>
      <c r="AY324" s="153"/>
      <c r="AZ324" s="153"/>
      <c r="BA324" s="153"/>
      <c r="BB324" s="153"/>
      <c r="BC324" s="153"/>
      <c r="BD324" s="153"/>
      <c r="BE324" s="153"/>
      <c r="BF324" s="153"/>
      <c r="BG324" s="153"/>
      <c r="BH324" s="153"/>
      <c r="BI324" s="153"/>
      <c r="BJ324" s="153"/>
      <c r="BK324" s="153"/>
      <c r="BL324" s="153"/>
      <c r="BM324" s="153"/>
      <c r="BN324" s="153"/>
      <c r="BO324" s="153"/>
      <c r="BP324" s="153"/>
      <c r="BQ324" s="153"/>
    </row>
    <row r="325" spans="1:69" x14ac:dyDescent="0.2">
      <c r="A325" s="153"/>
      <c r="B325" s="153"/>
      <c r="C325" s="153"/>
      <c r="D325" s="153"/>
      <c r="E325" s="153"/>
      <c r="F325" s="153"/>
      <c r="G325" s="153"/>
      <c r="H325" s="153"/>
      <c r="I325" s="153"/>
      <c r="J325" s="153"/>
      <c r="K325" s="153"/>
      <c r="L325" s="153"/>
      <c r="M325" s="153"/>
      <c r="N325" s="153"/>
      <c r="O325" s="153"/>
      <c r="P325" s="153"/>
      <c r="Q325" s="153"/>
      <c r="R325" s="153"/>
      <c r="S325" s="153"/>
      <c r="T325" s="153"/>
      <c r="U325" s="153"/>
      <c r="V325" s="153"/>
      <c r="W325" s="153"/>
      <c r="X325" s="153"/>
      <c r="Y325" s="153"/>
      <c r="Z325" s="153"/>
      <c r="AA325" s="153"/>
      <c r="AB325" s="153"/>
      <c r="AC325" s="153"/>
      <c r="AD325" s="153"/>
      <c r="AE325" s="153"/>
      <c r="AF325" s="153"/>
      <c r="AG325" s="153"/>
      <c r="AH325" s="153"/>
      <c r="AI325" s="153"/>
      <c r="AJ325" s="153"/>
      <c r="AK325" s="153"/>
      <c r="AL325" s="153"/>
      <c r="AM325" s="153"/>
      <c r="AN325" s="153"/>
      <c r="AO325" s="153"/>
      <c r="AP325" s="153"/>
      <c r="AQ325" s="153"/>
      <c r="AR325" s="153"/>
      <c r="AS325" s="153"/>
      <c r="AT325" s="153"/>
      <c r="AU325" s="153"/>
      <c r="AV325" s="153"/>
      <c r="AW325" s="153"/>
      <c r="AX325" s="153"/>
      <c r="AY325" s="153"/>
      <c r="AZ325" s="153"/>
      <c r="BA325" s="153"/>
      <c r="BB325" s="153"/>
      <c r="BC325" s="153"/>
      <c r="BD325" s="153"/>
      <c r="BE325" s="153"/>
      <c r="BF325" s="153"/>
      <c r="BG325" s="153"/>
      <c r="BH325" s="153"/>
      <c r="BI325" s="153"/>
      <c r="BJ325" s="153"/>
      <c r="BK325" s="153"/>
      <c r="BL325" s="153"/>
      <c r="BM325" s="153"/>
      <c r="BN325" s="153"/>
      <c r="BO325" s="153"/>
      <c r="BP325" s="153"/>
      <c r="BQ325" s="153"/>
    </row>
    <row r="326" spans="1:69" x14ac:dyDescent="0.2">
      <c r="A326" s="153"/>
      <c r="B326" s="153"/>
      <c r="C326" s="153"/>
      <c r="D326" s="153"/>
      <c r="E326" s="153"/>
      <c r="F326" s="153"/>
      <c r="G326" s="153"/>
      <c r="H326" s="153"/>
      <c r="I326" s="153"/>
      <c r="J326" s="153"/>
      <c r="K326" s="153"/>
      <c r="L326" s="153"/>
      <c r="M326" s="153"/>
      <c r="N326" s="153"/>
      <c r="O326" s="153"/>
      <c r="P326" s="153"/>
      <c r="Q326" s="153"/>
      <c r="R326" s="153"/>
      <c r="S326" s="153"/>
      <c r="T326" s="153"/>
      <c r="U326" s="153"/>
      <c r="V326" s="153"/>
      <c r="W326" s="153"/>
      <c r="X326" s="153"/>
      <c r="Y326" s="153"/>
      <c r="Z326" s="153"/>
      <c r="AA326" s="153"/>
      <c r="AB326" s="153"/>
      <c r="AC326" s="153"/>
      <c r="AD326" s="153"/>
      <c r="AE326" s="153"/>
      <c r="AF326" s="153"/>
      <c r="AG326" s="153"/>
      <c r="AH326" s="153"/>
      <c r="AI326" s="153"/>
      <c r="AJ326" s="153"/>
      <c r="AK326" s="153"/>
      <c r="AL326" s="153"/>
      <c r="AM326" s="153"/>
      <c r="AN326" s="153"/>
      <c r="AO326" s="153"/>
      <c r="AP326" s="153"/>
      <c r="AQ326" s="153"/>
      <c r="AR326" s="153"/>
      <c r="AS326" s="153"/>
      <c r="AT326" s="153"/>
      <c r="AU326" s="153"/>
      <c r="AV326" s="153"/>
      <c r="AW326" s="153"/>
      <c r="AX326" s="153"/>
      <c r="AY326" s="153"/>
      <c r="AZ326" s="153"/>
      <c r="BA326" s="153"/>
      <c r="BB326" s="153"/>
      <c r="BC326" s="153"/>
      <c r="BD326" s="153"/>
      <c r="BE326" s="153"/>
      <c r="BF326" s="153"/>
      <c r="BG326" s="153"/>
      <c r="BH326" s="153"/>
      <c r="BI326" s="153"/>
      <c r="BJ326" s="153"/>
      <c r="BK326" s="153"/>
      <c r="BL326" s="153"/>
      <c r="BM326" s="153"/>
      <c r="BN326" s="153"/>
      <c r="BO326" s="153"/>
      <c r="BP326" s="153"/>
      <c r="BQ326" s="153"/>
    </row>
    <row r="327" spans="1:69" x14ac:dyDescent="0.2">
      <c r="A327" s="153"/>
      <c r="B327" s="153"/>
      <c r="C327" s="153"/>
      <c r="D327" s="153"/>
      <c r="E327" s="153"/>
      <c r="F327" s="153"/>
      <c r="G327" s="153"/>
      <c r="H327" s="153"/>
      <c r="I327" s="153"/>
      <c r="J327" s="153"/>
      <c r="K327" s="153"/>
      <c r="L327" s="153"/>
      <c r="M327" s="153"/>
      <c r="N327" s="153"/>
      <c r="O327" s="153"/>
      <c r="P327" s="153"/>
      <c r="Q327" s="153"/>
      <c r="R327" s="153"/>
      <c r="S327" s="153"/>
      <c r="T327" s="153"/>
      <c r="U327" s="153"/>
      <c r="V327" s="153"/>
      <c r="W327" s="153"/>
      <c r="X327" s="153"/>
      <c r="Y327" s="153"/>
      <c r="Z327" s="153"/>
      <c r="AA327" s="153"/>
      <c r="AB327" s="153"/>
      <c r="AC327" s="153"/>
      <c r="AD327" s="153"/>
      <c r="AE327" s="153"/>
      <c r="AF327" s="153"/>
      <c r="AG327" s="153"/>
      <c r="AH327" s="153"/>
      <c r="AI327" s="153"/>
      <c r="AJ327" s="153"/>
      <c r="AK327" s="153"/>
      <c r="AL327" s="153"/>
      <c r="AM327" s="153"/>
      <c r="AN327" s="153"/>
      <c r="AO327" s="153"/>
      <c r="AP327" s="153"/>
      <c r="AQ327" s="153"/>
      <c r="AR327" s="153"/>
      <c r="AS327" s="153"/>
      <c r="AT327" s="153"/>
      <c r="AU327" s="153"/>
      <c r="AV327" s="153"/>
      <c r="AW327" s="153"/>
      <c r="AX327" s="153"/>
      <c r="AY327" s="153"/>
      <c r="AZ327" s="153"/>
      <c r="BA327" s="153"/>
      <c r="BB327" s="153"/>
      <c r="BC327" s="153"/>
      <c r="BD327" s="153"/>
      <c r="BE327" s="153"/>
      <c r="BF327" s="153"/>
      <c r="BG327" s="153"/>
      <c r="BH327" s="153"/>
      <c r="BI327" s="153"/>
      <c r="BJ327" s="153"/>
      <c r="BK327" s="153"/>
      <c r="BL327" s="153"/>
      <c r="BM327" s="153"/>
      <c r="BN327" s="153"/>
      <c r="BO327" s="153"/>
      <c r="BP327" s="153"/>
      <c r="BQ327" s="153"/>
    </row>
    <row r="328" spans="1:69" x14ac:dyDescent="0.2">
      <c r="A328" s="153"/>
      <c r="B328" s="153"/>
      <c r="C328" s="153"/>
      <c r="D328" s="153"/>
      <c r="E328" s="153"/>
      <c r="F328" s="153"/>
      <c r="G328" s="153"/>
      <c r="H328" s="153"/>
      <c r="I328" s="153"/>
      <c r="J328" s="153"/>
      <c r="K328" s="153"/>
      <c r="L328" s="153"/>
      <c r="M328" s="153"/>
      <c r="N328" s="153"/>
      <c r="O328" s="153"/>
      <c r="P328" s="153"/>
      <c r="Q328" s="153"/>
      <c r="R328" s="153"/>
      <c r="S328" s="153"/>
      <c r="T328" s="153"/>
      <c r="U328" s="153"/>
      <c r="V328" s="153"/>
      <c r="W328" s="153"/>
      <c r="X328" s="153"/>
      <c r="Y328" s="153"/>
      <c r="Z328" s="153"/>
      <c r="AA328" s="153"/>
      <c r="AB328" s="153"/>
      <c r="AC328" s="153"/>
      <c r="AD328" s="153"/>
      <c r="AE328" s="153"/>
      <c r="AF328" s="153"/>
      <c r="AG328" s="153"/>
      <c r="AH328" s="153"/>
      <c r="AI328" s="153"/>
      <c r="AJ328" s="153"/>
      <c r="AK328" s="153"/>
      <c r="AL328" s="153"/>
      <c r="AM328" s="153"/>
      <c r="AN328" s="153"/>
      <c r="AO328" s="153"/>
      <c r="AP328" s="153"/>
      <c r="AQ328" s="153"/>
      <c r="AR328" s="153"/>
      <c r="AS328" s="153"/>
      <c r="AT328" s="153"/>
      <c r="AU328" s="153"/>
      <c r="AV328" s="153"/>
      <c r="AW328" s="153"/>
      <c r="AX328" s="153"/>
      <c r="AY328" s="153"/>
      <c r="AZ328" s="153"/>
      <c r="BA328" s="153"/>
      <c r="BB328" s="153"/>
      <c r="BC328" s="153"/>
      <c r="BD328" s="153"/>
      <c r="BE328" s="153"/>
      <c r="BF328" s="153"/>
      <c r="BG328" s="153"/>
      <c r="BH328" s="153"/>
      <c r="BI328" s="153"/>
      <c r="BJ328" s="153"/>
      <c r="BK328" s="153"/>
      <c r="BL328" s="153"/>
      <c r="BM328" s="153"/>
      <c r="BN328" s="153"/>
      <c r="BO328" s="153"/>
      <c r="BP328" s="153"/>
      <c r="BQ328" s="153"/>
    </row>
    <row r="329" spans="1:69" x14ac:dyDescent="0.2">
      <c r="A329" s="153"/>
      <c r="B329" s="153"/>
      <c r="C329" s="153"/>
      <c r="D329" s="153"/>
      <c r="E329" s="153"/>
      <c r="F329" s="153"/>
      <c r="G329" s="153"/>
      <c r="H329" s="153"/>
      <c r="I329" s="153"/>
      <c r="J329" s="153"/>
      <c r="K329" s="153"/>
      <c r="L329" s="153"/>
      <c r="M329" s="153"/>
      <c r="N329" s="153"/>
      <c r="O329" s="153"/>
      <c r="P329" s="153"/>
      <c r="Q329" s="153"/>
      <c r="R329" s="153"/>
      <c r="S329" s="153"/>
      <c r="T329" s="153"/>
      <c r="U329" s="153"/>
      <c r="V329" s="153"/>
      <c r="W329" s="153"/>
      <c r="X329" s="153"/>
      <c r="Y329" s="153"/>
      <c r="Z329" s="153"/>
      <c r="AA329" s="153"/>
      <c r="AB329" s="153"/>
      <c r="AC329" s="153"/>
      <c r="AD329" s="153"/>
      <c r="AE329" s="153"/>
      <c r="AF329" s="153"/>
      <c r="AG329" s="153"/>
      <c r="AH329" s="153"/>
      <c r="AI329" s="153"/>
      <c r="AJ329" s="153"/>
      <c r="AK329" s="153"/>
      <c r="AL329" s="153"/>
      <c r="AM329" s="153"/>
      <c r="AN329" s="153"/>
      <c r="AO329" s="153"/>
      <c r="AP329" s="153"/>
      <c r="AQ329" s="153"/>
      <c r="AR329" s="153"/>
      <c r="AS329" s="153"/>
      <c r="AT329" s="153"/>
      <c r="AU329" s="153"/>
      <c r="AV329" s="153"/>
      <c r="AW329" s="153"/>
      <c r="AX329" s="153"/>
      <c r="AY329" s="153"/>
      <c r="AZ329" s="153"/>
      <c r="BA329" s="153"/>
      <c r="BB329" s="153"/>
      <c r="BC329" s="153"/>
      <c r="BD329" s="153"/>
      <c r="BE329" s="153"/>
      <c r="BF329" s="153"/>
      <c r="BG329" s="153"/>
      <c r="BH329" s="153"/>
      <c r="BI329" s="153"/>
      <c r="BJ329" s="153"/>
      <c r="BK329" s="153"/>
      <c r="BL329" s="153"/>
      <c r="BM329" s="153"/>
      <c r="BN329" s="153"/>
      <c r="BO329" s="153"/>
      <c r="BP329" s="153"/>
      <c r="BQ329" s="153"/>
    </row>
    <row r="330" spans="1:69" x14ac:dyDescent="0.2">
      <c r="A330" s="153"/>
      <c r="B330" s="153"/>
      <c r="C330" s="153"/>
      <c r="D330" s="153"/>
      <c r="E330" s="153"/>
      <c r="F330" s="153"/>
      <c r="G330" s="153"/>
      <c r="H330" s="153"/>
      <c r="I330" s="153"/>
      <c r="J330" s="153"/>
      <c r="K330" s="153"/>
      <c r="L330" s="153"/>
      <c r="M330" s="153"/>
      <c r="N330" s="153"/>
      <c r="O330" s="153"/>
      <c r="P330" s="153"/>
      <c r="Q330" s="153"/>
      <c r="R330" s="153"/>
      <c r="S330" s="153"/>
      <c r="T330" s="153"/>
      <c r="U330" s="153"/>
      <c r="V330" s="153"/>
      <c r="W330" s="153"/>
      <c r="X330" s="153"/>
      <c r="Y330" s="153"/>
      <c r="Z330" s="153"/>
      <c r="AA330" s="153"/>
      <c r="AB330" s="153"/>
      <c r="AC330" s="153"/>
      <c r="AD330" s="153"/>
      <c r="AE330" s="153"/>
      <c r="AF330" s="153"/>
      <c r="AG330" s="153"/>
      <c r="AH330" s="153"/>
      <c r="AI330" s="153"/>
      <c r="AJ330" s="153"/>
      <c r="AK330" s="153"/>
      <c r="AL330" s="153"/>
      <c r="AM330" s="153"/>
      <c r="AN330" s="153"/>
      <c r="AO330" s="153"/>
      <c r="AP330" s="153"/>
      <c r="AQ330" s="153"/>
      <c r="AR330" s="153"/>
      <c r="AS330" s="153"/>
      <c r="AT330" s="153"/>
      <c r="AU330" s="153"/>
      <c r="AV330" s="153"/>
      <c r="AW330" s="153"/>
      <c r="AX330" s="153"/>
      <c r="AY330" s="153"/>
      <c r="AZ330" s="153"/>
      <c r="BA330" s="153"/>
      <c r="BB330" s="153"/>
      <c r="BC330" s="153"/>
      <c r="BD330" s="153"/>
      <c r="BE330" s="153"/>
      <c r="BF330" s="153"/>
      <c r="BG330" s="153"/>
      <c r="BH330" s="153"/>
      <c r="BI330" s="153"/>
      <c r="BJ330" s="153"/>
      <c r="BK330" s="153"/>
      <c r="BL330" s="153"/>
      <c r="BM330" s="153"/>
      <c r="BN330" s="153"/>
      <c r="BO330" s="153"/>
      <c r="BP330" s="153"/>
      <c r="BQ330" s="153"/>
    </row>
    <row r="331" spans="1:69" x14ac:dyDescent="0.2">
      <c r="A331" s="153"/>
      <c r="B331" s="153"/>
      <c r="C331" s="153"/>
      <c r="D331" s="153"/>
      <c r="E331" s="153"/>
      <c r="F331" s="153"/>
      <c r="G331" s="153"/>
      <c r="H331" s="153"/>
      <c r="I331" s="153"/>
      <c r="J331" s="153"/>
      <c r="K331" s="153"/>
      <c r="L331" s="153"/>
      <c r="M331" s="153"/>
      <c r="N331" s="153"/>
      <c r="O331" s="153"/>
      <c r="P331" s="153"/>
      <c r="Q331" s="153"/>
      <c r="R331" s="153"/>
      <c r="S331" s="153"/>
      <c r="T331" s="153"/>
      <c r="U331" s="153"/>
      <c r="V331" s="153"/>
      <c r="W331" s="153"/>
      <c r="X331" s="153"/>
      <c r="Y331" s="153"/>
      <c r="Z331" s="153"/>
      <c r="AA331" s="153"/>
      <c r="AB331" s="153"/>
      <c r="AC331" s="153"/>
      <c r="AD331" s="153"/>
      <c r="AE331" s="153"/>
      <c r="AF331" s="153"/>
      <c r="AG331" s="153"/>
      <c r="AH331" s="153"/>
      <c r="AI331" s="153"/>
      <c r="AJ331" s="153"/>
      <c r="AK331" s="153"/>
      <c r="AL331" s="153"/>
      <c r="AM331" s="153"/>
      <c r="AN331" s="153"/>
      <c r="AO331" s="153"/>
      <c r="AP331" s="153"/>
      <c r="AQ331" s="153"/>
      <c r="AR331" s="153"/>
      <c r="AS331" s="153"/>
      <c r="AT331" s="153"/>
      <c r="AU331" s="153"/>
      <c r="AV331" s="153"/>
      <c r="AW331" s="153"/>
      <c r="AX331" s="153"/>
      <c r="AY331" s="153"/>
      <c r="AZ331" s="153"/>
      <c r="BA331" s="153"/>
      <c r="BB331" s="153"/>
      <c r="BC331" s="153"/>
      <c r="BD331" s="153"/>
      <c r="BE331" s="153"/>
      <c r="BF331" s="153"/>
      <c r="BG331" s="153"/>
      <c r="BH331" s="153"/>
      <c r="BI331" s="153"/>
      <c r="BJ331" s="153"/>
      <c r="BK331" s="153"/>
      <c r="BL331" s="153"/>
      <c r="BM331" s="153"/>
      <c r="BN331" s="153"/>
      <c r="BO331" s="153"/>
      <c r="BP331" s="153"/>
      <c r="BQ331" s="153"/>
    </row>
    <row r="332" spans="1:69" x14ac:dyDescent="0.2">
      <c r="A332" s="153"/>
      <c r="B332" s="153"/>
      <c r="C332" s="153"/>
      <c r="D332" s="153"/>
      <c r="E332" s="153"/>
      <c r="F332" s="153"/>
      <c r="G332" s="153"/>
      <c r="H332" s="153"/>
      <c r="I332" s="153"/>
      <c r="J332" s="153"/>
      <c r="K332" s="153"/>
      <c r="L332" s="153"/>
      <c r="M332" s="153"/>
      <c r="N332" s="153"/>
      <c r="O332" s="153"/>
      <c r="P332" s="153"/>
      <c r="Q332" s="153"/>
      <c r="R332" s="153"/>
      <c r="S332" s="153"/>
      <c r="T332" s="153"/>
      <c r="U332" s="153"/>
      <c r="V332" s="153"/>
      <c r="W332" s="153"/>
      <c r="X332" s="153"/>
      <c r="Y332" s="153"/>
      <c r="Z332" s="153"/>
      <c r="AA332" s="153"/>
      <c r="AB332" s="153"/>
      <c r="AC332" s="153"/>
      <c r="AD332" s="153"/>
      <c r="AE332" s="153"/>
      <c r="AF332" s="153"/>
      <c r="AG332" s="153"/>
      <c r="AH332" s="153"/>
      <c r="AI332" s="153"/>
      <c r="AJ332" s="153"/>
      <c r="AK332" s="153"/>
      <c r="AL332" s="153"/>
      <c r="AM332" s="153"/>
      <c r="AN332" s="153"/>
      <c r="AO332" s="153"/>
      <c r="AP332" s="153"/>
      <c r="AQ332" s="153"/>
      <c r="AR332" s="153"/>
      <c r="AS332" s="153"/>
      <c r="AT332" s="153"/>
      <c r="AU332" s="153"/>
      <c r="AV332" s="153"/>
      <c r="AW332" s="153"/>
      <c r="AX332" s="153"/>
      <c r="AY332" s="153"/>
      <c r="AZ332" s="153"/>
      <c r="BA332" s="153"/>
      <c r="BB332" s="153"/>
      <c r="BC332" s="153"/>
      <c r="BD332" s="153"/>
      <c r="BE332" s="153"/>
      <c r="BF332" s="153"/>
      <c r="BG332" s="153"/>
      <c r="BH332" s="153"/>
      <c r="BI332" s="153"/>
      <c r="BJ332" s="153"/>
      <c r="BK332" s="153"/>
      <c r="BL332" s="153"/>
      <c r="BM332" s="153"/>
      <c r="BN332" s="153"/>
      <c r="BO332" s="153"/>
      <c r="BP332" s="153"/>
      <c r="BQ332" s="153"/>
    </row>
    <row r="333" spans="1:69" x14ac:dyDescent="0.2">
      <c r="A333" s="153"/>
      <c r="B333" s="153"/>
      <c r="C333" s="153"/>
      <c r="D333" s="153"/>
      <c r="E333" s="153"/>
      <c r="F333" s="153"/>
      <c r="G333" s="153"/>
      <c r="H333" s="153"/>
      <c r="I333" s="153"/>
      <c r="J333" s="153"/>
      <c r="K333" s="153"/>
      <c r="L333" s="153"/>
      <c r="M333" s="153"/>
      <c r="N333" s="153"/>
      <c r="O333" s="153"/>
      <c r="P333" s="153"/>
      <c r="Q333" s="153"/>
      <c r="R333" s="153"/>
      <c r="S333" s="153"/>
      <c r="T333" s="153"/>
      <c r="U333" s="153"/>
      <c r="V333" s="153"/>
      <c r="W333" s="153"/>
      <c r="X333" s="153"/>
      <c r="Y333" s="153"/>
      <c r="Z333" s="153"/>
      <c r="AA333" s="153"/>
      <c r="AB333" s="153"/>
      <c r="AC333" s="153"/>
      <c r="AD333" s="153"/>
      <c r="AE333" s="153"/>
      <c r="AF333" s="153"/>
      <c r="AG333" s="153"/>
      <c r="AH333" s="153"/>
      <c r="AI333" s="153"/>
      <c r="AJ333" s="153"/>
      <c r="AK333" s="153"/>
      <c r="AL333" s="153"/>
      <c r="AM333" s="153"/>
      <c r="AN333" s="153"/>
      <c r="AO333" s="153"/>
      <c r="AP333" s="153"/>
      <c r="AQ333" s="153"/>
      <c r="AR333" s="153"/>
      <c r="AS333" s="153"/>
      <c r="AT333" s="153"/>
      <c r="AU333" s="153"/>
      <c r="AV333" s="153"/>
      <c r="AW333" s="153"/>
      <c r="AX333" s="153"/>
      <c r="AY333" s="153"/>
      <c r="AZ333" s="153"/>
      <c r="BA333" s="153"/>
      <c r="BB333" s="153"/>
      <c r="BC333" s="153"/>
      <c r="BD333" s="153"/>
      <c r="BE333" s="153"/>
      <c r="BF333" s="153"/>
      <c r="BG333" s="153"/>
      <c r="BH333" s="153"/>
      <c r="BI333" s="153"/>
      <c r="BJ333" s="153"/>
      <c r="BK333" s="153"/>
      <c r="BL333" s="153"/>
      <c r="BM333" s="153"/>
      <c r="BN333" s="153"/>
      <c r="BO333" s="153"/>
      <c r="BP333" s="153"/>
      <c r="BQ333" s="153"/>
    </row>
    <row r="334" spans="1:69" x14ac:dyDescent="0.2">
      <c r="A334" s="153"/>
      <c r="B334" s="153"/>
      <c r="C334" s="153"/>
      <c r="D334" s="153"/>
      <c r="E334" s="153"/>
      <c r="F334" s="153"/>
      <c r="G334" s="153"/>
      <c r="H334" s="153"/>
      <c r="I334" s="153"/>
      <c r="J334" s="153"/>
      <c r="K334" s="153"/>
      <c r="L334" s="153"/>
      <c r="M334" s="153"/>
      <c r="N334" s="153"/>
      <c r="O334" s="153"/>
      <c r="P334" s="153"/>
      <c r="Q334" s="153"/>
      <c r="R334" s="153"/>
      <c r="S334" s="153"/>
      <c r="T334" s="153"/>
      <c r="U334" s="153"/>
      <c r="V334" s="153"/>
      <c r="W334" s="153"/>
      <c r="X334" s="153"/>
      <c r="Y334" s="153"/>
      <c r="Z334" s="153"/>
      <c r="AA334" s="153"/>
      <c r="AB334" s="153"/>
      <c r="AC334" s="153"/>
      <c r="AD334" s="153"/>
      <c r="AE334" s="153"/>
      <c r="AF334" s="153"/>
      <c r="AG334" s="153"/>
      <c r="AH334" s="153"/>
      <c r="AI334" s="153"/>
      <c r="AJ334" s="153"/>
      <c r="AK334" s="153"/>
      <c r="AL334" s="153"/>
      <c r="AM334" s="153"/>
      <c r="AN334" s="153"/>
      <c r="AO334" s="153"/>
      <c r="AP334" s="153"/>
      <c r="AQ334" s="153"/>
      <c r="AR334" s="153"/>
      <c r="AS334" s="153"/>
      <c r="AT334" s="153"/>
      <c r="AU334" s="153"/>
      <c r="AV334" s="153"/>
      <c r="AW334" s="153"/>
      <c r="AX334" s="153"/>
      <c r="AY334" s="153"/>
      <c r="AZ334" s="153"/>
      <c r="BA334" s="153"/>
      <c r="BB334" s="153"/>
      <c r="BC334" s="153"/>
      <c r="BD334" s="153"/>
      <c r="BE334" s="153"/>
      <c r="BF334" s="153"/>
      <c r="BG334" s="153"/>
      <c r="BH334" s="153"/>
      <c r="BI334" s="153"/>
      <c r="BJ334" s="153"/>
      <c r="BK334" s="153"/>
      <c r="BL334" s="153"/>
      <c r="BM334" s="153"/>
      <c r="BN334" s="153"/>
      <c r="BO334" s="153"/>
      <c r="BP334" s="153"/>
      <c r="BQ334" s="153"/>
    </row>
    <row r="335" spans="1:69" x14ac:dyDescent="0.2">
      <c r="A335" s="153"/>
      <c r="B335" s="153"/>
      <c r="C335" s="153"/>
      <c r="D335" s="153"/>
      <c r="E335" s="153"/>
      <c r="F335" s="153"/>
      <c r="G335" s="153"/>
      <c r="H335" s="153"/>
      <c r="I335" s="153"/>
      <c r="J335" s="153"/>
      <c r="K335" s="153"/>
      <c r="L335" s="153"/>
      <c r="M335" s="153"/>
      <c r="N335" s="153"/>
      <c r="O335" s="153"/>
      <c r="P335" s="153"/>
      <c r="Q335" s="153"/>
      <c r="R335" s="153"/>
      <c r="S335" s="153"/>
      <c r="T335" s="153"/>
      <c r="U335" s="153"/>
      <c r="V335" s="153"/>
      <c r="W335" s="153"/>
      <c r="X335" s="153"/>
      <c r="Y335" s="153"/>
      <c r="Z335" s="153"/>
      <c r="AA335" s="153"/>
      <c r="AB335" s="153"/>
      <c r="AC335" s="153"/>
      <c r="AD335" s="153"/>
      <c r="AE335" s="153"/>
      <c r="AF335" s="153"/>
      <c r="AG335" s="153"/>
      <c r="AH335" s="153"/>
      <c r="AI335" s="153"/>
      <c r="AJ335" s="153"/>
      <c r="AK335" s="153"/>
      <c r="AL335" s="153"/>
      <c r="AM335" s="153"/>
      <c r="AN335" s="153"/>
      <c r="AO335" s="153"/>
      <c r="AP335" s="153"/>
      <c r="AQ335" s="153"/>
      <c r="AR335" s="153"/>
      <c r="AS335" s="153"/>
      <c r="AT335" s="153"/>
      <c r="AU335" s="153"/>
      <c r="AV335" s="153"/>
      <c r="AW335" s="153"/>
      <c r="AX335" s="153"/>
      <c r="AY335" s="153"/>
      <c r="AZ335" s="153"/>
      <c r="BA335" s="153"/>
      <c r="BB335" s="153"/>
      <c r="BC335" s="153"/>
      <c r="BD335" s="153"/>
      <c r="BE335" s="153"/>
      <c r="BF335" s="153"/>
      <c r="BG335" s="153"/>
      <c r="BH335" s="153"/>
      <c r="BI335" s="153"/>
      <c r="BJ335" s="153"/>
      <c r="BK335" s="153"/>
      <c r="BL335" s="153"/>
      <c r="BM335" s="153"/>
      <c r="BN335" s="153"/>
      <c r="BO335" s="153"/>
      <c r="BP335" s="153"/>
      <c r="BQ335" s="153"/>
    </row>
    <row r="336" spans="1:69" x14ac:dyDescent="0.2">
      <c r="A336" s="153"/>
      <c r="B336" s="153"/>
      <c r="C336" s="153"/>
      <c r="D336" s="153"/>
      <c r="E336" s="153"/>
      <c r="F336" s="153"/>
      <c r="G336" s="153"/>
      <c r="H336" s="153"/>
      <c r="I336" s="153"/>
      <c r="J336" s="153"/>
      <c r="K336" s="153"/>
      <c r="L336" s="153"/>
      <c r="M336" s="153"/>
      <c r="N336" s="153"/>
      <c r="O336" s="153"/>
      <c r="P336" s="153"/>
      <c r="Q336" s="153"/>
      <c r="R336" s="153"/>
      <c r="S336" s="153"/>
      <c r="T336" s="153"/>
      <c r="U336" s="153"/>
      <c r="V336" s="153"/>
      <c r="W336" s="153"/>
      <c r="X336" s="153"/>
      <c r="Y336" s="153"/>
      <c r="Z336" s="153"/>
      <c r="AA336" s="153"/>
      <c r="AB336" s="153"/>
      <c r="AC336" s="153"/>
      <c r="AD336" s="153"/>
      <c r="AE336" s="153"/>
      <c r="AF336" s="153"/>
      <c r="AG336" s="153"/>
      <c r="AH336" s="153"/>
      <c r="AI336" s="153"/>
      <c r="AJ336" s="153"/>
      <c r="AK336" s="153"/>
      <c r="AL336" s="153"/>
      <c r="AM336" s="153"/>
      <c r="AN336" s="153"/>
      <c r="AO336" s="153"/>
      <c r="AP336" s="153"/>
      <c r="AQ336" s="153"/>
      <c r="AR336" s="153"/>
      <c r="AS336" s="153"/>
      <c r="AT336" s="153"/>
      <c r="AU336" s="153"/>
      <c r="AV336" s="153"/>
      <c r="AW336" s="153"/>
      <c r="AX336" s="153"/>
      <c r="AY336" s="153"/>
      <c r="AZ336" s="153"/>
      <c r="BA336" s="153"/>
      <c r="BB336" s="153"/>
      <c r="BC336" s="153"/>
      <c r="BD336" s="153"/>
      <c r="BE336" s="153"/>
      <c r="BF336" s="153"/>
      <c r="BG336" s="153"/>
      <c r="BH336" s="153"/>
      <c r="BI336" s="153"/>
      <c r="BJ336" s="153"/>
      <c r="BK336" s="153"/>
      <c r="BL336" s="153"/>
      <c r="BM336" s="153"/>
      <c r="BN336" s="153"/>
      <c r="BO336" s="153"/>
      <c r="BP336" s="153"/>
      <c r="BQ336" s="153"/>
    </row>
    <row r="337" spans="1:69" x14ac:dyDescent="0.2">
      <c r="A337" s="153"/>
      <c r="B337" s="153"/>
      <c r="C337" s="153"/>
      <c r="D337" s="153"/>
      <c r="E337" s="153"/>
      <c r="F337" s="153"/>
      <c r="G337" s="153"/>
      <c r="H337" s="153"/>
      <c r="I337" s="153"/>
      <c r="J337" s="153"/>
      <c r="K337" s="153"/>
      <c r="L337" s="153"/>
      <c r="M337" s="153"/>
      <c r="N337" s="153"/>
      <c r="O337" s="153"/>
      <c r="P337" s="153"/>
      <c r="Q337" s="153"/>
      <c r="R337" s="153"/>
      <c r="S337" s="153"/>
      <c r="T337" s="153"/>
      <c r="U337" s="153"/>
      <c r="V337" s="153"/>
      <c r="W337" s="153"/>
      <c r="X337" s="153"/>
      <c r="Y337" s="153"/>
      <c r="Z337" s="153"/>
      <c r="AA337" s="153"/>
      <c r="AB337" s="153"/>
      <c r="AC337" s="153"/>
      <c r="AD337" s="153"/>
      <c r="AE337" s="153"/>
      <c r="AF337" s="153"/>
      <c r="AG337" s="153"/>
      <c r="AH337" s="153"/>
      <c r="AI337" s="153"/>
      <c r="AJ337" s="153"/>
      <c r="AK337" s="153"/>
      <c r="AL337" s="153"/>
      <c r="AM337" s="153"/>
      <c r="AN337" s="153"/>
      <c r="AO337" s="153"/>
      <c r="AP337" s="153"/>
      <c r="AQ337" s="153"/>
      <c r="AR337" s="153"/>
      <c r="AS337" s="153"/>
      <c r="AT337" s="153"/>
      <c r="AU337" s="153"/>
      <c r="AV337" s="153"/>
      <c r="AW337" s="153"/>
      <c r="AX337" s="153"/>
      <c r="AY337" s="153"/>
      <c r="AZ337" s="153"/>
      <c r="BA337" s="153"/>
      <c r="BB337" s="153"/>
      <c r="BC337" s="153"/>
      <c r="BD337" s="153"/>
      <c r="BE337" s="153"/>
      <c r="BF337" s="153"/>
      <c r="BG337" s="153"/>
      <c r="BH337" s="153"/>
      <c r="BI337" s="153"/>
      <c r="BJ337" s="153"/>
      <c r="BK337" s="153"/>
      <c r="BL337" s="153"/>
      <c r="BM337" s="153"/>
      <c r="BN337" s="153"/>
      <c r="BO337" s="153"/>
      <c r="BP337" s="153"/>
      <c r="BQ337" s="153"/>
    </row>
    <row r="338" spans="1:69" x14ac:dyDescent="0.2">
      <c r="A338" s="153"/>
      <c r="B338" s="153"/>
      <c r="C338" s="153"/>
      <c r="D338" s="153"/>
      <c r="E338" s="153"/>
      <c r="F338" s="153"/>
      <c r="G338" s="153"/>
      <c r="H338" s="153"/>
      <c r="I338" s="153"/>
      <c r="J338" s="153"/>
      <c r="K338" s="153"/>
      <c r="L338" s="153"/>
      <c r="M338" s="153"/>
      <c r="N338" s="153"/>
      <c r="O338" s="153"/>
      <c r="P338" s="153"/>
      <c r="Q338" s="153"/>
      <c r="R338" s="153"/>
      <c r="S338" s="153"/>
      <c r="T338" s="153"/>
      <c r="U338" s="153"/>
      <c r="V338" s="153"/>
      <c r="W338" s="153"/>
      <c r="X338" s="153"/>
      <c r="Y338" s="153"/>
      <c r="Z338" s="153"/>
      <c r="AA338" s="153"/>
      <c r="AB338" s="153"/>
      <c r="AC338" s="153"/>
      <c r="AD338" s="153"/>
      <c r="AE338" s="153"/>
      <c r="AF338" s="153"/>
      <c r="AG338" s="153"/>
      <c r="AH338" s="153"/>
      <c r="AI338" s="153"/>
      <c r="AJ338" s="153"/>
      <c r="AK338" s="153"/>
      <c r="AL338" s="153"/>
      <c r="AM338" s="153"/>
      <c r="AN338" s="153"/>
      <c r="AO338" s="153"/>
      <c r="AP338" s="153"/>
      <c r="AQ338" s="153"/>
      <c r="AR338" s="153"/>
      <c r="AS338" s="153"/>
      <c r="AT338" s="153"/>
      <c r="AU338" s="153"/>
      <c r="AV338" s="153"/>
      <c r="AW338" s="153"/>
      <c r="AX338" s="153"/>
      <c r="AY338" s="153"/>
      <c r="AZ338" s="153"/>
      <c r="BA338" s="153"/>
      <c r="BB338" s="153"/>
      <c r="BC338" s="153"/>
      <c r="BD338" s="153"/>
      <c r="BE338" s="153"/>
      <c r="BF338" s="153"/>
      <c r="BG338" s="153"/>
      <c r="BH338" s="153"/>
      <c r="BI338" s="153"/>
      <c r="BJ338" s="153"/>
      <c r="BK338" s="153"/>
      <c r="BL338" s="153"/>
      <c r="BM338" s="153"/>
      <c r="BN338" s="153"/>
      <c r="BO338" s="153"/>
      <c r="BP338" s="153"/>
      <c r="BQ338" s="153"/>
    </row>
    <row r="339" spans="1:69" x14ac:dyDescent="0.2">
      <c r="A339" s="153"/>
      <c r="B339" s="153"/>
      <c r="C339" s="153"/>
      <c r="D339" s="153"/>
      <c r="E339" s="153"/>
      <c r="F339" s="153"/>
      <c r="G339" s="153"/>
      <c r="H339" s="153"/>
      <c r="I339" s="153"/>
      <c r="J339" s="153"/>
      <c r="K339" s="153"/>
      <c r="L339" s="153"/>
      <c r="M339" s="153"/>
      <c r="N339" s="153"/>
      <c r="O339" s="153"/>
      <c r="P339" s="153"/>
      <c r="Q339" s="153"/>
      <c r="R339" s="153"/>
      <c r="S339" s="153"/>
      <c r="T339" s="153"/>
      <c r="U339" s="153"/>
      <c r="V339" s="153"/>
      <c r="W339" s="153"/>
      <c r="X339" s="153"/>
      <c r="Y339" s="153"/>
      <c r="Z339" s="153"/>
      <c r="AA339" s="153"/>
      <c r="AB339" s="153"/>
      <c r="AC339" s="153"/>
      <c r="AD339" s="153"/>
      <c r="AE339" s="153"/>
      <c r="AF339" s="153"/>
      <c r="AG339" s="153"/>
      <c r="AH339" s="153"/>
      <c r="AI339" s="153"/>
      <c r="AJ339" s="153"/>
      <c r="AK339" s="153"/>
      <c r="AL339" s="153"/>
      <c r="AM339" s="153"/>
      <c r="AN339" s="153"/>
      <c r="AO339" s="153"/>
      <c r="AP339" s="153"/>
      <c r="AQ339" s="153"/>
      <c r="AR339" s="153"/>
      <c r="AS339" s="153"/>
      <c r="AT339" s="153"/>
      <c r="AU339" s="153"/>
      <c r="AV339" s="153"/>
      <c r="AW339" s="153"/>
      <c r="AX339" s="153"/>
      <c r="AY339" s="153"/>
      <c r="AZ339" s="153"/>
      <c r="BA339" s="153"/>
      <c r="BB339" s="153"/>
      <c r="BC339" s="153"/>
      <c r="BD339" s="153"/>
      <c r="BE339" s="153"/>
      <c r="BF339" s="153"/>
      <c r="BG339" s="153"/>
      <c r="BH339" s="153"/>
      <c r="BI339" s="153"/>
      <c r="BJ339" s="153"/>
      <c r="BK339" s="153"/>
      <c r="BL339" s="153"/>
      <c r="BM339" s="153"/>
      <c r="BN339" s="153"/>
      <c r="BO339" s="153"/>
      <c r="BP339" s="153"/>
      <c r="BQ339" s="153"/>
    </row>
    <row r="340" spans="1:69" x14ac:dyDescent="0.2">
      <c r="A340" s="153"/>
      <c r="B340" s="153"/>
      <c r="C340" s="153"/>
      <c r="D340" s="153"/>
      <c r="E340" s="153"/>
      <c r="F340" s="153"/>
      <c r="G340" s="153"/>
      <c r="H340" s="153"/>
      <c r="I340" s="153"/>
      <c r="J340" s="153"/>
      <c r="K340" s="153"/>
      <c r="L340" s="153"/>
      <c r="M340" s="153"/>
      <c r="N340" s="153"/>
      <c r="O340" s="153"/>
      <c r="P340" s="153"/>
      <c r="Q340" s="153"/>
      <c r="R340" s="153"/>
      <c r="S340" s="153"/>
      <c r="T340" s="153"/>
      <c r="U340" s="153"/>
      <c r="V340" s="153"/>
      <c r="W340" s="153"/>
      <c r="X340" s="153"/>
      <c r="Y340" s="153"/>
      <c r="Z340" s="153"/>
      <c r="AA340" s="153"/>
      <c r="AB340" s="153"/>
      <c r="AC340" s="153"/>
      <c r="AD340" s="153"/>
      <c r="AE340" s="153"/>
      <c r="AF340" s="153"/>
      <c r="AG340" s="153"/>
      <c r="AH340" s="153"/>
      <c r="AI340" s="153"/>
      <c r="AJ340" s="153"/>
      <c r="AK340" s="153"/>
      <c r="AL340" s="153"/>
      <c r="AM340" s="153"/>
      <c r="AN340" s="153"/>
      <c r="AO340" s="153"/>
      <c r="AP340" s="153"/>
      <c r="AQ340" s="153"/>
      <c r="AR340" s="153"/>
      <c r="AS340" s="153"/>
      <c r="AT340" s="153"/>
      <c r="AU340" s="153"/>
      <c r="AV340" s="153"/>
      <c r="AW340" s="153"/>
      <c r="AX340" s="153"/>
      <c r="AY340" s="153"/>
      <c r="AZ340" s="153"/>
      <c r="BA340" s="153"/>
      <c r="BB340" s="153"/>
      <c r="BC340" s="153"/>
      <c r="BD340" s="153"/>
      <c r="BE340" s="153"/>
      <c r="BF340" s="153"/>
      <c r="BG340" s="153"/>
      <c r="BH340" s="153"/>
      <c r="BI340" s="153"/>
      <c r="BJ340" s="153"/>
      <c r="BK340" s="153"/>
      <c r="BL340" s="153"/>
      <c r="BM340" s="153"/>
      <c r="BN340" s="153"/>
      <c r="BO340" s="153"/>
      <c r="BP340" s="153"/>
      <c r="BQ340" s="153"/>
    </row>
    <row r="341" spans="1:69" x14ac:dyDescent="0.2">
      <c r="A341" s="153"/>
      <c r="B341" s="153"/>
      <c r="C341" s="153"/>
      <c r="D341" s="153"/>
      <c r="E341" s="153"/>
      <c r="F341" s="153"/>
      <c r="G341" s="153"/>
      <c r="H341" s="153"/>
      <c r="I341" s="153"/>
      <c r="J341" s="153"/>
      <c r="K341" s="153"/>
      <c r="L341" s="153"/>
      <c r="M341" s="153"/>
      <c r="N341" s="153"/>
      <c r="O341" s="153"/>
      <c r="P341" s="153"/>
      <c r="Q341" s="153"/>
      <c r="R341" s="153"/>
      <c r="S341" s="153"/>
      <c r="T341" s="153"/>
      <c r="U341" s="153"/>
      <c r="V341" s="153"/>
      <c r="W341" s="153"/>
      <c r="X341" s="153"/>
      <c r="Y341" s="153"/>
      <c r="Z341" s="153"/>
      <c r="AA341" s="153"/>
      <c r="AB341" s="153"/>
      <c r="AC341" s="153"/>
      <c r="AD341" s="153"/>
      <c r="AE341" s="153"/>
      <c r="AF341" s="153"/>
      <c r="AG341" s="153"/>
      <c r="AH341" s="153"/>
      <c r="AI341" s="153"/>
      <c r="AJ341" s="153"/>
      <c r="AK341" s="153"/>
      <c r="AL341" s="153"/>
      <c r="AM341" s="153"/>
      <c r="AN341" s="153"/>
      <c r="AO341" s="153"/>
      <c r="AP341" s="153"/>
      <c r="AQ341" s="153"/>
      <c r="AR341" s="153"/>
      <c r="AS341" s="153"/>
      <c r="AT341" s="153"/>
      <c r="AU341" s="153"/>
      <c r="AV341" s="153"/>
      <c r="AW341" s="153"/>
      <c r="AX341" s="153"/>
      <c r="AY341" s="153"/>
      <c r="AZ341" s="153"/>
      <c r="BA341" s="153"/>
      <c r="BB341" s="153"/>
      <c r="BC341" s="153"/>
      <c r="BD341" s="153"/>
      <c r="BE341" s="153"/>
      <c r="BF341" s="153"/>
      <c r="BG341" s="153"/>
      <c r="BH341" s="153"/>
      <c r="BI341" s="153"/>
      <c r="BJ341" s="153"/>
      <c r="BK341" s="153"/>
      <c r="BL341" s="153"/>
      <c r="BM341" s="153"/>
      <c r="BN341" s="153"/>
      <c r="BO341" s="153"/>
      <c r="BP341" s="153"/>
      <c r="BQ341" s="153"/>
    </row>
    <row r="342" spans="1:69" x14ac:dyDescent="0.2">
      <c r="A342" s="153"/>
      <c r="B342" s="153"/>
      <c r="C342" s="153"/>
      <c r="D342" s="153"/>
      <c r="E342" s="153"/>
      <c r="F342" s="153"/>
      <c r="G342" s="153"/>
      <c r="H342" s="153"/>
      <c r="I342" s="153"/>
      <c r="J342" s="153"/>
      <c r="K342" s="153"/>
      <c r="L342" s="153"/>
      <c r="M342" s="153"/>
      <c r="N342" s="153"/>
      <c r="O342" s="153"/>
      <c r="P342" s="153"/>
      <c r="Q342" s="153"/>
      <c r="R342" s="153"/>
      <c r="S342" s="153"/>
      <c r="T342" s="153"/>
      <c r="U342" s="153"/>
      <c r="V342" s="153"/>
      <c r="W342" s="153"/>
      <c r="X342" s="153"/>
      <c r="Y342" s="153"/>
      <c r="Z342" s="153"/>
      <c r="AA342" s="153"/>
      <c r="AB342" s="153"/>
      <c r="AC342" s="153"/>
      <c r="AD342" s="153"/>
      <c r="AE342" s="153"/>
      <c r="AF342" s="153"/>
      <c r="AG342" s="153"/>
      <c r="AH342" s="153"/>
      <c r="AI342" s="153"/>
      <c r="AJ342" s="153"/>
      <c r="AK342" s="153"/>
      <c r="AL342" s="153"/>
      <c r="AM342" s="153"/>
      <c r="AN342" s="153"/>
      <c r="AO342" s="153"/>
      <c r="AP342" s="153"/>
      <c r="AQ342" s="153"/>
      <c r="AR342" s="153"/>
      <c r="AS342" s="153"/>
      <c r="AT342" s="153"/>
      <c r="AU342" s="153"/>
      <c r="AV342" s="153"/>
      <c r="AW342" s="153"/>
      <c r="AX342" s="153"/>
      <c r="AY342" s="153"/>
      <c r="AZ342" s="153"/>
      <c r="BA342" s="153"/>
      <c r="BB342" s="153"/>
      <c r="BC342" s="153"/>
      <c r="BD342" s="153"/>
      <c r="BE342" s="153"/>
      <c r="BF342" s="153"/>
      <c r="BG342" s="153"/>
      <c r="BH342" s="153"/>
      <c r="BI342" s="153"/>
      <c r="BJ342" s="153"/>
      <c r="BK342" s="153"/>
      <c r="BL342" s="153"/>
      <c r="BM342" s="153"/>
      <c r="BN342" s="153"/>
      <c r="BO342" s="153"/>
      <c r="BP342" s="153"/>
      <c r="BQ342" s="153"/>
    </row>
    <row r="343" spans="1:69" x14ac:dyDescent="0.2">
      <c r="A343" s="153"/>
      <c r="B343" s="153"/>
      <c r="C343" s="153"/>
      <c r="D343" s="153"/>
      <c r="E343" s="153"/>
      <c r="F343" s="153"/>
      <c r="G343" s="153"/>
      <c r="H343" s="153"/>
      <c r="I343" s="153"/>
      <c r="J343" s="153"/>
      <c r="K343" s="153"/>
      <c r="L343" s="153"/>
      <c r="M343" s="153"/>
      <c r="N343" s="153"/>
      <c r="O343" s="153"/>
      <c r="P343" s="153"/>
      <c r="Q343" s="153"/>
      <c r="R343" s="153"/>
      <c r="S343" s="153"/>
      <c r="T343" s="153"/>
      <c r="U343" s="153"/>
      <c r="V343" s="153"/>
      <c r="W343" s="153"/>
      <c r="X343" s="153"/>
      <c r="Y343" s="153"/>
      <c r="Z343" s="153"/>
      <c r="AA343" s="153"/>
      <c r="AB343" s="153"/>
      <c r="AC343" s="153"/>
      <c r="AD343" s="153"/>
      <c r="AE343" s="153"/>
      <c r="AF343" s="153"/>
      <c r="AG343" s="153"/>
      <c r="AH343" s="153"/>
      <c r="AI343" s="153"/>
      <c r="AJ343" s="153"/>
      <c r="AK343" s="153"/>
      <c r="AL343" s="153"/>
      <c r="AM343" s="153"/>
      <c r="AN343" s="153"/>
      <c r="AO343" s="153"/>
      <c r="AP343" s="153"/>
      <c r="AQ343" s="153"/>
      <c r="AR343" s="153"/>
      <c r="AS343" s="153"/>
      <c r="AT343" s="153"/>
      <c r="AU343" s="153"/>
      <c r="AV343" s="153"/>
      <c r="AW343" s="153"/>
      <c r="AX343" s="153"/>
      <c r="AY343" s="153"/>
      <c r="AZ343" s="153"/>
      <c r="BA343" s="153"/>
      <c r="BB343" s="153"/>
      <c r="BC343" s="153"/>
      <c r="BD343" s="153"/>
      <c r="BE343" s="153"/>
      <c r="BF343" s="153"/>
      <c r="BG343" s="153"/>
      <c r="BH343" s="153"/>
      <c r="BI343" s="153"/>
      <c r="BJ343" s="153"/>
      <c r="BK343" s="153"/>
      <c r="BL343" s="153"/>
      <c r="BM343" s="153"/>
      <c r="BN343" s="153"/>
      <c r="BO343" s="153"/>
      <c r="BP343" s="153"/>
      <c r="BQ343" s="153"/>
    </row>
    <row r="344" spans="1:69" x14ac:dyDescent="0.2">
      <c r="A344" s="153"/>
      <c r="B344" s="153"/>
      <c r="C344" s="153"/>
      <c r="D344" s="153"/>
      <c r="E344" s="153"/>
      <c r="F344" s="153"/>
      <c r="G344" s="153"/>
      <c r="H344" s="153"/>
      <c r="I344" s="153"/>
      <c r="J344" s="153"/>
      <c r="K344" s="153"/>
      <c r="L344" s="153"/>
      <c r="M344" s="153"/>
      <c r="N344" s="153"/>
      <c r="O344" s="153"/>
      <c r="P344" s="153"/>
      <c r="Q344" s="153"/>
      <c r="R344" s="153"/>
      <c r="S344" s="153"/>
      <c r="T344" s="153"/>
      <c r="U344" s="153"/>
      <c r="V344" s="153"/>
      <c r="W344" s="153"/>
      <c r="X344" s="153"/>
      <c r="Y344" s="153"/>
      <c r="Z344" s="153"/>
      <c r="AA344" s="153"/>
      <c r="AB344" s="153"/>
      <c r="AC344" s="153"/>
      <c r="AD344" s="153"/>
      <c r="AE344" s="153"/>
      <c r="AF344" s="153"/>
      <c r="AG344" s="153"/>
      <c r="AH344" s="153"/>
      <c r="AI344" s="153"/>
      <c r="AJ344" s="153"/>
      <c r="AK344" s="153"/>
      <c r="AL344" s="153"/>
      <c r="AM344" s="153"/>
      <c r="AN344" s="153"/>
      <c r="AO344" s="153"/>
      <c r="AP344" s="153"/>
      <c r="AQ344" s="153"/>
      <c r="AR344" s="153"/>
      <c r="AS344" s="153"/>
      <c r="AT344" s="153"/>
      <c r="AU344" s="153"/>
      <c r="AV344" s="153"/>
      <c r="AW344" s="153"/>
      <c r="AX344" s="153"/>
      <c r="AY344" s="153"/>
      <c r="AZ344" s="153"/>
      <c r="BA344" s="153"/>
      <c r="BB344" s="153"/>
      <c r="BC344" s="153"/>
      <c r="BD344" s="153"/>
      <c r="BE344" s="153"/>
      <c r="BF344" s="153"/>
      <c r="BG344" s="153"/>
      <c r="BH344" s="153"/>
      <c r="BI344" s="153"/>
      <c r="BJ344" s="153"/>
      <c r="BK344" s="153"/>
      <c r="BL344" s="153"/>
      <c r="BM344" s="153"/>
      <c r="BN344" s="153"/>
      <c r="BO344" s="153"/>
      <c r="BP344" s="153"/>
      <c r="BQ344" s="153"/>
    </row>
    <row r="345" spans="1:69" x14ac:dyDescent="0.2">
      <c r="A345" s="153"/>
      <c r="B345" s="153"/>
      <c r="C345" s="153"/>
      <c r="D345" s="153"/>
      <c r="E345" s="153"/>
      <c r="F345" s="153"/>
      <c r="G345" s="153"/>
      <c r="H345" s="153"/>
      <c r="I345" s="153"/>
      <c r="J345" s="153"/>
      <c r="K345" s="153"/>
      <c r="L345" s="153"/>
      <c r="M345" s="153"/>
      <c r="N345" s="153"/>
      <c r="O345" s="153"/>
      <c r="P345" s="153"/>
      <c r="Q345" s="153"/>
      <c r="R345" s="153"/>
      <c r="S345" s="153"/>
      <c r="T345" s="153"/>
      <c r="U345" s="153"/>
      <c r="V345" s="153"/>
      <c r="W345" s="153"/>
      <c r="X345" s="153"/>
      <c r="Y345" s="153"/>
      <c r="Z345" s="153"/>
      <c r="AA345" s="153"/>
      <c r="AB345" s="153"/>
      <c r="AC345" s="153"/>
      <c r="AD345" s="153"/>
      <c r="AE345" s="153"/>
      <c r="AF345" s="153"/>
      <c r="AG345" s="153"/>
      <c r="AH345" s="153"/>
      <c r="AI345" s="153"/>
      <c r="AJ345" s="153"/>
      <c r="AK345" s="153"/>
      <c r="AL345" s="153"/>
      <c r="AM345" s="153"/>
      <c r="AN345" s="153"/>
      <c r="AO345" s="153"/>
      <c r="AP345" s="153"/>
      <c r="AQ345" s="153"/>
      <c r="AR345" s="153"/>
      <c r="AS345" s="153"/>
      <c r="AT345" s="153"/>
      <c r="AU345" s="153"/>
      <c r="AV345" s="153"/>
      <c r="AW345" s="153"/>
      <c r="AX345" s="153"/>
      <c r="AY345" s="153"/>
      <c r="AZ345" s="153"/>
      <c r="BA345" s="153"/>
      <c r="BB345" s="153"/>
      <c r="BC345" s="153"/>
      <c r="BD345" s="153"/>
      <c r="BE345" s="153"/>
      <c r="BF345" s="153"/>
      <c r="BG345" s="153"/>
      <c r="BH345" s="153"/>
      <c r="BI345" s="153"/>
      <c r="BJ345" s="153"/>
      <c r="BK345" s="153"/>
      <c r="BL345" s="153"/>
      <c r="BM345" s="153"/>
      <c r="BN345" s="153"/>
      <c r="BO345" s="153"/>
      <c r="BP345" s="153"/>
      <c r="BQ345" s="153"/>
    </row>
    <row r="346" spans="1:69" x14ac:dyDescent="0.2">
      <c r="A346" s="153"/>
      <c r="B346" s="153"/>
      <c r="C346" s="153"/>
      <c r="D346" s="153"/>
      <c r="E346" s="153"/>
      <c r="F346" s="153"/>
      <c r="G346" s="153"/>
      <c r="H346" s="153"/>
      <c r="I346" s="153"/>
      <c r="J346" s="153"/>
      <c r="K346" s="153"/>
      <c r="L346" s="153"/>
      <c r="M346" s="153"/>
      <c r="N346" s="153"/>
      <c r="O346" s="153"/>
      <c r="P346" s="153"/>
      <c r="Q346" s="153"/>
      <c r="R346" s="153"/>
      <c r="S346" s="153"/>
      <c r="T346" s="153"/>
      <c r="U346" s="153"/>
      <c r="V346" s="153"/>
      <c r="W346" s="153"/>
      <c r="X346" s="153"/>
      <c r="Y346" s="153"/>
      <c r="Z346" s="153"/>
      <c r="AA346" s="153"/>
      <c r="AB346" s="153"/>
      <c r="AC346" s="153"/>
      <c r="AD346" s="153"/>
      <c r="AE346" s="153"/>
      <c r="AF346" s="153"/>
      <c r="AG346" s="153"/>
      <c r="AH346" s="153"/>
      <c r="AI346" s="153"/>
      <c r="AJ346" s="153"/>
      <c r="AK346" s="153"/>
      <c r="AL346" s="153"/>
      <c r="AM346" s="153"/>
      <c r="AN346" s="153"/>
      <c r="AO346" s="153"/>
      <c r="AP346" s="153"/>
      <c r="AQ346" s="153"/>
      <c r="AR346" s="153"/>
      <c r="AS346" s="153"/>
      <c r="AT346" s="153"/>
      <c r="AU346" s="153"/>
      <c r="AV346" s="153"/>
      <c r="AW346" s="153"/>
      <c r="AX346" s="153"/>
      <c r="AY346" s="153"/>
      <c r="AZ346" s="153"/>
      <c r="BA346" s="153"/>
      <c r="BB346" s="153"/>
      <c r="BC346" s="153"/>
      <c r="BD346" s="153"/>
      <c r="BE346" s="153"/>
      <c r="BF346" s="153"/>
      <c r="BG346" s="153"/>
      <c r="BH346" s="153"/>
      <c r="BI346" s="153"/>
      <c r="BJ346" s="153"/>
      <c r="BK346" s="153"/>
      <c r="BL346" s="153"/>
      <c r="BM346" s="153"/>
      <c r="BN346" s="153"/>
      <c r="BO346" s="153"/>
      <c r="BP346" s="153"/>
      <c r="BQ346" s="153"/>
    </row>
    <row r="347" spans="1:69" x14ac:dyDescent="0.2">
      <c r="A347" s="153"/>
      <c r="B347" s="153"/>
      <c r="C347" s="153"/>
      <c r="D347" s="153"/>
      <c r="E347" s="153"/>
      <c r="F347" s="153"/>
      <c r="G347" s="153"/>
      <c r="H347" s="153"/>
      <c r="I347" s="153"/>
      <c r="J347" s="153"/>
      <c r="K347" s="153"/>
      <c r="L347" s="153"/>
      <c r="M347" s="153"/>
      <c r="N347" s="153"/>
      <c r="O347" s="153"/>
      <c r="P347" s="153"/>
      <c r="Q347" s="153"/>
      <c r="R347" s="153"/>
      <c r="S347" s="153"/>
      <c r="T347" s="153"/>
      <c r="U347" s="153"/>
      <c r="V347" s="153"/>
      <c r="W347" s="153"/>
      <c r="X347" s="153"/>
      <c r="Y347" s="153"/>
      <c r="Z347" s="153"/>
      <c r="AA347" s="153"/>
      <c r="AB347" s="153"/>
      <c r="AC347" s="153"/>
      <c r="AD347" s="153"/>
      <c r="AE347" s="153"/>
      <c r="AF347" s="153"/>
      <c r="AG347" s="153"/>
      <c r="AH347" s="153"/>
      <c r="AI347" s="153"/>
      <c r="AJ347" s="153"/>
      <c r="AK347" s="153"/>
      <c r="AL347" s="153"/>
      <c r="AM347" s="153"/>
      <c r="AN347" s="153"/>
      <c r="AO347" s="153"/>
      <c r="AP347" s="153"/>
      <c r="AQ347" s="153"/>
      <c r="AR347" s="153"/>
      <c r="AS347" s="153"/>
      <c r="AT347" s="153"/>
      <c r="AU347" s="153"/>
      <c r="AV347" s="153"/>
      <c r="AW347" s="153"/>
      <c r="AX347" s="153"/>
      <c r="AY347" s="153"/>
      <c r="AZ347" s="153"/>
      <c r="BA347" s="153"/>
      <c r="BB347" s="153"/>
      <c r="BC347" s="153"/>
      <c r="BD347" s="153"/>
      <c r="BE347" s="153"/>
      <c r="BF347" s="153"/>
      <c r="BG347" s="153"/>
      <c r="BH347" s="153"/>
      <c r="BI347" s="153"/>
      <c r="BJ347" s="153"/>
      <c r="BK347" s="153"/>
      <c r="BL347" s="153"/>
      <c r="BM347" s="153"/>
      <c r="BN347" s="153"/>
      <c r="BO347" s="153"/>
      <c r="BP347" s="153"/>
      <c r="BQ347" s="153"/>
    </row>
    <row r="348" spans="1:69" x14ac:dyDescent="0.2">
      <c r="A348" s="153"/>
      <c r="B348" s="153"/>
      <c r="C348" s="153"/>
      <c r="D348" s="153"/>
      <c r="E348" s="153"/>
      <c r="F348" s="153"/>
      <c r="G348" s="153"/>
      <c r="H348" s="153"/>
      <c r="I348" s="153"/>
      <c r="J348" s="153"/>
      <c r="K348" s="153"/>
      <c r="L348" s="153"/>
      <c r="M348" s="153"/>
      <c r="N348" s="153"/>
      <c r="O348" s="153"/>
      <c r="P348" s="153"/>
      <c r="Q348" s="153"/>
      <c r="R348" s="153"/>
      <c r="S348" s="153"/>
      <c r="T348" s="153"/>
      <c r="U348" s="153"/>
      <c r="V348" s="153"/>
      <c r="W348" s="153"/>
      <c r="X348" s="153"/>
      <c r="Y348" s="153"/>
      <c r="Z348" s="153"/>
      <c r="AA348" s="153"/>
      <c r="AB348" s="153"/>
      <c r="AC348" s="153"/>
      <c r="AD348" s="153"/>
      <c r="AE348" s="153"/>
      <c r="AF348" s="153"/>
      <c r="AG348" s="153"/>
      <c r="AH348" s="153"/>
      <c r="AI348" s="153"/>
      <c r="AJ348" s="153"/>
      <c r="AK348" s="153"/>
      <c r="AL348" s="153"/>
      <c r="AM348" s="153"/>
      <c r="AN348" s="153"/>
      <c r="AO348" s="153"/>
      <c r="AP348" s="153"/>
      <c r="AQ348" s="153"/>
      <c r="AR348" s="153"/>
      <c r="AS348" s="153"/>
      <c r="AT348" s="153"/>
      <c r="AU348" s="153"/>
      <c r="AV348" s="153"/>
      <c r="AW348" s="153"/>
      <c r="AX348" s="153"/>
      <c r="AY348" s="153"/>
      <c r="AZ348" s="153"/>
      <c r="BA348" s="153"/>
      <c r="BB348" s="153"/>
      <c r="BC348" s="153"/>
      <c r="BD348" s="153"/>
      <c r="BE348" s="153"/>
      <c r="BF348" s="153"/>
      <c r="BG348" s="153"/>
      <c r="BH348" s="153"/>
      <c r="BI348" s="153"/>
      <c r="BJ348" s="153"/>
      <c r="BK348" s="153"/>
      <c r="BL348" s="153"/>
      <c r="BM348" s="153"/>
      <c r="BN348" s="153"/>
      <c r="BO348" s="153"/>
      <c r="BP348" s="153"/>
      <c r="BQ348" s="153"/>
    </row>
    <row r="349" spans="1:69" x14ac:dyDescent="0.2">
      <c r="A349" s="153"/>
      <c r="B349" s="153"/>
      <c r="C349" s="153"/>
      <c r="D349" s="153"/>
      <c r="E349" s="153"/>
      <c r="F349" s="153"/>
      <c r="G349" s="153"/>
      <c r="H349" s="153"/>
      <c r="I349" s="153"/>
      <c r="J349" s="153"/>
      <c r="K349" s="153"/>
      <c r="L349" s="153"/>
      <c r="M349" s="153"/>
      <c r="N349" s="153"/>
      <c r="O349" s="153"/>
      <c r="P349" s="153"/>
      <c r="Q349" s="153"/>
      <c r="R349" s="153"/>
      <c r="S349" s="153"/>
      <c r="T349" s="153"/>
      <c r="U349" s="153"/>
      <c r="V349" s="153"/>
      <c r="W349" s="153"/>
      <c r="X349" s="153"/>
      <c r="Y349" s="153"/>
      <c r="Z349" s="153"/>
      <c r="AA349" s="153"/>
      <c r="AB349" s="153"/>
      <c r="AC349" s="153"/>
      <c r="AD349" s="153"/>
      <c r="AE349" s="153"/>
      <c r="AF349" s="153"/>
      <c r="AG349" s="153"/>
      <c r="AH349" s="153"/>
      <c r="AI349" s="153"/>
      <c r="AJ349" s="153"/>
      <c r="AK349" s="153"/>
      <c r="AL349" s="153"/>
      <c r="AM349" s="153"/>
      <c r="AN349" s="153"/>
      <c r="AO349" s="153"/>
      <c r="AP349" s="153"/>
      <c r="AQ349" s="153"/>
      <c r="AR349" s="153"/>
      <c r="AS349" s="153"/>
      <c r="AT349" s="153"/>
      <c r="AU349" s="153"/>
      <c r="AV349" s="153"/>
      <c r="AW349" s="153"/>
      <c r="AX349" s="153"/>
      <c r="AY349" s="153"/>
      <c r="AZ349" s="153"/>
      <c r="BA349" s="153"/>
      <c r="BB349" s="153"/>
      <c r="BC349" s="153"/>
      <c r="BD349" s="153"/>
      <c r="BE349" s="153"/>
      <c r="BF349" s="153"/>
      <c r="BG349" s="153"/>
      <c r="BH349" s="153"/>
      <c r="BI349" s="153"/>
      <c r="BJ349" s="153"/>
      <c r="BK349" s="153"/>
      <c r="BL349" s="153"/>
      <c r="BM349" s="153"/>
      <c r="BN349" s="153"/>
      <c r="BO349" s="153"/>
      <c r="BP349" s="153"/>
      <c r="BQ349" s="153"/>
    </row>
    <row r="350" spans="1:69" x14ac:dyDescent="0.2">
      <c r="A350" s="153"/>
      <c r="B350" s="153"/>
      <c r="C350" s="153"/>
      <c r="D350" s="153"/>
      <c r="E350" s="153"/>
      <c r="F350" s="153"/>
      <c r="G350" s="153"/>
      <c r="H350" s="153"/>
      <c r="I350" s="153"/>
      <c r="J350" s="153"/>
      <c r="K350" s="153"/>
      <c r="L350" s="153"/>
      <c r="M350" s="153"/>
      <c r="N350" s="153"/>
      <c r="O350" s="153"/>
      <c r="P350" s="153"/>
      <c r="Q350" s="153"/>
      <c r="R350" s="153"/>
      <c r="S350" s="153"/>
      <c r="T350" s="153"/>
      <c r="U350" s="153"/>
      <c r="V350" s="153"/>
      <c r="W350" s="153"/>
      <c r="X350" s="153"/>
      <c r="Y350" s="153"/>
      <c r="Z350" s="153"/>
      <c r="AA350" s="153"/>
      <c r="AB350" s="153"/>
      <c r="AC350" s="153"/>
      <c r="AD350" s="153"/>
      <c r="AE350" s="153"/>
      <c r="AF350" s="153"/>
      <c r="AG350" s="153"/>
      <c r="AH350" s="153"/>
      <c r="AI350" s="153"/>
      <c r="AJ350" s="153"/>
      <c r="AK350" s="153"/>
      <c r="AL350" s="153"/>
      <c r="AM350" s="153"/>
      <c r="AN350" s="153"/>
      <c r="AO350" s="153"/>
      <c r="AP350" s="153"/>
      <c r="AQ350" s="153"/>
      <c r="AR350" s="153"/>
      <c r="AS350" s="153"/>
      <c r="AT350" s="153"/>
      <c r="AU350" s="153"/>
      <c r="AV350" s="153"/>
      <c r="AW350" s="153"/>
      <c r="AX350" s="153"/>
      <c r="AY350" s="153"/>
      <c r="AZ350" s="153"/>
      <c r="BA350" s="153"/>
      <c r="BB350" s="153"/>
      <c r="BC350" s="153"/>
      <c r="BD350" s="153"/>
      <c r="BE350" s="153"/>
      <c r="BF350" s="153"/>
      <c r="BG350" s="153"/>
      <c r="BH350" s="153"/>
      <c r="BI350" s="153"/>
      <c r="BJ350" s="153"/>
      <c r="BK350" s="153"/>
      <c r="BL350" s="153"/>
      <c r="BM350" s="153"/>
      <c r="BN350" s="153"/>
      <c r="BO350" s="153"/>
      <c r="BP350" s="153"/>
      <c r="BQ350" s="153"/>
    </row>
  </sheetData>
  <sheetProtection selectLockedCells="1"/>
  <mergeCells count="6">
    <mergeCell ref="C48:E48"/>
    <mergeCell ref="C50:E50"/>
    <mergeCell ref="C18:E18"/>
    <mergeCell ref="C5:E5"/>
    <mergeCell ref="C36:E36"/>
    <mergeCell ref="C41:E41"/>
  </mergeCells>
  <phoneticPr fontId="2" type="noConversion"/>
  <pageMargins left="0.25" right="0.25" top="0.75" bottom="0.75" header="0.3" footer="0.3"/>
  <pageSetup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3"/>
  <sheetViews>
    <sheetView showGridLines="0" showRowColHeaders="0" zoomScale="90" zoomScaleNormal="90" workbookViewId="0">
      <pane ySplit="1" topLeftCell="A2" activePane="bottomLeft" state="frozen"/>
      <selection activeCell="Q26" sqref="Q26"/>
      <selection pane="bottomLeft" activeCell="A32" sqref="A32"/>
    </sheetView>
  </sheetViews>
  <sheetFormatPr baseColWidth="10" defaultColWidth="10.85546875" defaultRowHeight="12.75" x14ac:dyDescent="0.2"/>
  <cols>
    <col min="1" max="2" width="2.140625" style="153" customWidth="1"/>
    <col min="3" max="4" width="10" style="153" customWidth="1"/>
    <col min="5" max="8" width="10.7109375" style="153" customWidth="1"/>
    <col min="9" max="9" width="8.7109375" style="153" customWidth="1"/>
    <col min="10" max="13" width="10.7109375" style="153" customWidth="1"/>
    <col min="14" max="14" width="9.7109375" style="153" customWidth="1"/>
    <col min="15" max="15" width="10.7109375" style="153" customWidth="1"/>
    <col min="16" max="16384" width="10.85546875" style="153"/>
  </cols>
  <sheetData>
    <row r="1" spans="1:15" ht="144" customHeight="1" x14ac:dyDescent="0.2">
      <c r="A1"/>
      <c r="B1"/>
      <c r="C1"/>
      <c r="D1"/>
      <c r="E1"/>
      <c r="F1"/>
      <c r="G1"/>
      <c r="H1"/>
      <c r="I1"/>
      <c r="J1"/>
      <c r="K1"/>
      <c r="L1"/>
      <c r="M1"/>
      <c r="N1"/>
    </row>
    <row r="2" spans="1:15" ht="15" x14ac:dyDescent="0.25">
      <c r="A2"/>
      <c r="B2"/>
      <c r="C2"/>
      <c r="D2"/>
      <c r="E2"/>
      <c r="F2"/>
      <c r="G2"/>
      <c r="H2"/>
      <c r="I2" s="158"/>
      <c r="J2" s="159"/>
      <c r="K2" s="5"/>
      <c r="L2" s="5"/>
      <c r="M2" s="160"/>
      <c r="N2" s="5"/>
      <c r="O2" s="154"/>
    </row>
    <row r="3" spans="1:15" ht="22.5" customHeight="1" x14ac:dyDescent="0.25">
      <c r="A3"/>
      <c r="B3"/>
      <c r="C3" s="230" t="s">
        <v>124</v>
      </c>
      <c r="D3" s="233"/>
      <c r="E3" s="125"/>
      <c r="F3" s="125"/>
      <c r="G3" s="124"/>
      <c r="H3" s="125"/>
      <c r="I3" s="126"/>
      <c r="J3" s="127"/>
      <c r="K3" s="128"/>
      <c r="L3" s="125"/>
      <c r="M3" s="124"/>
      <c r="N3" s="129"/>
      <c r="O3" s="155"/>
    </row>
    <row r="4" spans="1:15" ht="12.75" customHeight="1" x14ac:dyDescent="0.3">
      <c r="A4"/>
      <c r="B4"/>
      <c r="C4"/>
      <c r="D4"/>
      <c r="E4" s="161"/>
      <c r="F4" s="3"/>
      <c r="G4" s="2"/>
      <c r="H4" s="3"/>
      <c r="I4"/>
      <c r="J4" s="122"/>
      <c r="K4" s="122"/>
      <c r="L4" s="3"/>
      <c r="M4" s="2"/>
      <c r="N4" s="1"/>
      <c r="O4" s="155"/>
    </row>
    <row r="5" spans="1:15" ht="22.5" customHeight="1" x14ac:dyDescent="0.3">
      <c r="A5"/>
      <c r="B5"/>
      <c r="C5"/>
      <c r="D5"/>
      <c r="E5" s="161"/>
      <c r="F5" s="3"/>
      <c r="G5" s="2"/>
      <c r="H5" s="3"/>
      <c r="I5"/>
      <c r="J5" s="133">
        <f>'Résultats vs 2023'!C47</f>
        <v>2024</v>
      </c>
      <c r="K5" s="133">
        <f>J5+1</f>
        <v>2025</v>
      </c>
      <c r="L5" s="3"/>
      <c r="M5" s="2"/>
      <c r="N5" s="1"/>
      <c r="O5" s="155"/>
    </row>
    <row r="6" spans="1:15" ht="22.5" customHeight="1" x14ac:dyDescent="0.3">
      <c r="A6"/>
      <c r="B6"/>
      <c r="C6"/>
      <c r="D6"/>
      <c r="E6" s="161"/>
      <c r="F6" s="3"/>
      <c r="G6" s="2"/>
      <c r="H6" s="123" t="s">
        <v>66</v>
      </c>
      <c r="I6" s="162" t="str">
        <f>I$11</f>
        <v>$ /100 kg</v>
      </c>
      <c r="J6" s="144">
        <f>Saisie!O22</f>
        <v>234.81533993641861</v>
      </c>
      <c r="K6" s="144">
        <f>Saisie!P22</f>
        <v>236.55739324897542</v>
      </c>
      <c r="L6" s="117"/>
      <c r="M6" s="2"/>
      <c r="N6" s="1"/>
      <c r="O6" s="155"/>
    </row>
    <row r="7" spans="1:15" ht="14.1" customHeight="1" x14ac:dyDescent="0.3">
      <c r="A7"/>
      <c r="B7"/>
      <c r="C7"/>
      <c r="D7"/>
      <c r="E7" s="161"/>
      <c r="F7" s="3"/>
      <c r="G7" s="2"/>
      <c r="H7" s="59" t="s">
        <v>92</v>
      </c>
      <c r="I7" s="162" t="str">
        <f>I$11</f>
        <v>$ /100 kg</v>
      </c>
      <c r="J7" s="145">
        <f>(-Saisie!O20/Saisie!O19)*100</f>
        <v>0</v>
      </c>
      <c r="K7" s="145">
        <f>(-Saisie!P20/Saisie!O19)*100</f>
        <v>0</v>
      </c>
      <c r="L7" s="118"/>
      <c r="M7" s="2"/>
      <c r="N7" s="1"/>
      <c r="O7" s="155"/>
    </row>
    <row r="8" spans="1:15" ht="14.1" customHeight="1" x14ac:dyDescent="0.35">
      <c r="A8"/>
      <c r="B8"/>
      <c r="C8"/>
      <c r="D8"/>
      <c r="E8" s="161"/>
      <c r="F8" s="3"/>
      <c r="G8" s="2"/>
      <c r="H8" s="132" t="s">
        <v>93</v>
      </c>
      <c r="I8" s="163" t="str">
        <f>I$11</f>
        <v>$ /100 kg</v>
      </c>
      <c r="J8" s="146">
        <f>(-Saisie!O21/Saisie!O19)*100</f>
        <v>-1.4260407440212577</v>
      </c>
      <c r="K8" s="146">
        <f>(-Saisie!P21/Saisie!P19)*100</f>
        <v>-1.4260407440212577</v>
      </c>
      <c r="L8" s="118"/>
      <c r="M8" s="2"/>
      <c r="N8" s="1"/>
      <c r="O8" s="155"/>
    </row>
    <row r="9" spans="1:15" ht="22.5" customHeight="1" x14ac:dyDescent="0.2">
      <c r="A9"/>
      <c r="B9"/>
      <c r="C9"/>
      <c r="D9"/>
      <c r="E9"/>
      <c r="F9" s="164" t="s">
        <v>88</v>
      </c>
      <c r="G9" s="2"/>
      <c r="H9" s="130" t="s">
        <v>90</v>
      </c>
      <c r="I9" s="162" t="str">
        <f>I$11</f>
        <v>$ /100 kg</v>
      </c>
      <c r="J9" s="147">
        <f>Saisie!O13</f>
        <v>233.38929919239737</v>
      </c>
      <c r="K9" s="147">
        <f>Saisie!P13</f>
        <v>235.13135250495418</v>
      </c>
      <c r="L9" s="1"/>
      <c r="M9" s="1"/>
      <c r="N9" s="1"/>
      <c r="O9" s="155"/>
    </row>
    <row r="10" spans="1:15" ht="9.75" customHeight="1" x14ac:dyDescent="0.2">
      <c r="A10"/>
      <c r="B10"/>
      <c r="C10"/>
      <c r="D10"/>
      <c r="E10"/>
      <c r="F10"/>
      <c r="G10" s="3"/>
      <c r="H10" s="3"/>
      <c r="I10"/>
      <c r="J10" s="165"/>
      <c r="K10" s="165"/>
      <c r="L10" s="3"/>
      <c r="M10" s="2"/>
      <c r="N10" s="1"/>
      <c r="O10" s="155"/>
    </row>
    <row r="11" spans="1:15" ht="22.5" customHeight="1" x14ac:dyDescent="0.2">
      <c r="A11"/>
      <c r="B11"/>
      <c r="C11"/>
      <c r="D11"/>
      <c r="E11"/>
      <c r="F11" s="164" t="s">
        <v>89</v>
      </c>
      <c r="G11" s="2"/>
      <c r="H11" s="130" t="s">
        <v>91</v>
      </c>
      <c r="I11" s="162" t="s">
        <v>75</v>
      </c>
      <c r="J11" s="147">
        <f>Saisie!O23</f>
        <v>223.08628886357101</v>
      </c>
      <c r="K11" s="147">
        <f>Saisie!P23</f>
        <v>236.94368252364396</v>
      </c>
      <c r="L11" s="216" t="s">
        <v>116</v>
      </c>
      <c r="M11" s="2"/>
      <c r="N11" s="1"/>
      <c r="O11" s="155"/>
    </row>
    <row r="12" spans="1:15" ht="22.5" customHeight="1" x14ac:dyDescent="0.3">
      <c r="A12"/>
      <c r="B12"/>
      <c r="C12" s="5"/>
      <c r="D12" s="5"/>
      <c r="E12" s="161"/>
      <c r="F12" s="3"/>
      <c r="G12" s="2"/>
      <c r="H12" s="131" t="s">
        <v>94</v>
      </c>
      <c r="I12" s="166" t="str">
        <f>I$11</f>
        <v>$ /100 kg</v>
      </c>
      <c r="J12" s="148">
        <f>J9-J11</f>
        <v>10.30301032882636</v>
      </c>
      <c r="K12" s="148">
        <f>K9-K11</f>
        <v>-1.8123300186897779</v>
      </c>
      <c r="L12" s="203"/>
      <c r="M12" s="2"/>
      <c r="N12" s="1"/>
      <c r="O12" s="155"/>
    </row>
    <row r="13" spans="1:15" ht="15" customHeight="1" x14ac:dyDescent="0.3">
      <c r="A13"/>
      <c r="B13"/>
      <c r="C13"/>
      <c r="D13"/>
      <c r="E13" s="161"/>
      <c r="F13" s="3"/>
      <c r="G13" s="3"/>
      <c r="H13" s="167" t="s">
        <v>87</v>
      </c>
      <c r="I13"/>
      <c r="J13" s="165"/>
      <c r="K13" s="165"/>
      <c r="L13" s="3"/>
      <c r="M13" s="2"/>
      <c r="N13" s="1"/>
      <c r="O13" s="155"/>
    </row>
    <row r="14" spans="1:15" ht="22.5" customHeight="1" x14ac:dyDescent="0.3">
      <c r="A14"/>
      <c r="B14"/>
      <c r="C14"/>
      <c r="D14"/>
      <c r="E14" s="161"/>
      <c r="F14" s="3"/>
      <c r="G14" s="2"/>
      <c r="H14" s="59" t="s">
        <v>71</v>
      </c>
      <c r="I14" s="166" t="s">
        <v>8</v>
      </c>
      <c r="J14" s="149">
        <f ca="1">'Résultats vs 2023'!I6*'Résultats vs 2023'!H47/100</f>
        <v>2.0091430431659556</v>
      </c>
      <c r="K14" s="149">
        <f ca="1">'Résultats vs 2023'!I6*'Résultats vs 2023'!H48/100</f>
        <v>2.1339444651196562</v>
      </c>
      <c r="L14" s="216" t="str">
        <f>L11</f>
        <v>avec réductions de prix des porcs*</v>
      </c>
      <c r="M14" s="200"/>
      <c r="N14" s="1"/>
      <c r="O14" s="217"/>
    </row>
    <row r="15" spans="1:15" ht="21.75" customHeight="1" x14ac:dyDescent="0.3">
      <c r="A15"/>
      <c r="B15"/>
      <c r="C15" s="168" t="s">
        <v>73</v>
      </c>
      <c r="D15" s="129"/>
      <c r="E15" s="129"/>
      <c r="F15" s="129"/>
      <c r="G15" s="134"/>
      <c r="H15" s="129"/>
      <c r="I15" s="135"/>
      <c r="J15" s="136"/>
      <c r="K15" s="137"/>
      <c r="L15" s="129"/>
      <c r="M15" s="134"/>
      <c r="N15" s="129"/>
    </row>
    <row r="16" spans="1:15" s="156" customFormat="1" ht="21.75" customHeight="1" x14ac:dyDescent="0.2">
      <c r="A16"/>
      <c r="B16"/>
      <c r="C16" s="22"/>
      <c r="D16" s="22"/>
      <c r="E16" s="22"/>
      <c r="F16" s="22"/>
      <c r="G16" s="169" t="s">
        <v>82</v>
      </c>
      <c r="H16" s="22"/>
      <c r="I16" s="22"/>
      <c r="J16" s="198">
        <f>J5</f>
        <v>2024</v>
      </c>
      <c r="K16" s="198">
        <f>K5</f>
        <v>2025</v>
      </c>
      <c r="L16" s="22"/>
      <c r="M16" s="22"/>
      <c r="N16" s="22"/>
    </row>
    <row r="17" spans="1:14" s="156" customFormat="1" ht="21.75" customHeight="1" x14ac:dyDescent="0.2">
      <c r="A17"/>
      <c r="B17"/>
      <c r="C17" s="22"/>
      <c r="D17" s="22"/>
      <c r="E17" s="22"/>
      <c r="F17" s="170"/>
      <c r="G17" s="171"/>
      <c r="H17" s="172" t="s">
        <v>72</v>
      </c>
      <c r="I17" s="173" t="str">
        <f>I$11</f>
        <v>$ /100 kg</v>
      </c>
      <c r="J17" s="141">
        <f>IF(ROUND(Saisie!O14,2)=0,'Coti ASRA prev'!$B$1,Saisie!O14)</f>
        <v>10.30301032882636</v>
      </c>
      <c r="K17" s="141" t="str">
        <f>IF(ROUND(Saisie!P14,2)=0,'Coti ASRA prev'!$B$1,Saisie!P14)</f>
        <v xml:space="preserve">    -     $</v>
      </c>
      <c r="L17" s="174"/>
      <c r="M17" s="22"/>
      <c r="N17" s="22"/>
    </row>
    <row r="18" spans="1:14" ht="9" customHeight="1" x14ac:dyDescent="0.2">
      <c r="A18"/>
      <c r="B18"/>
      <c r="C18"/>
      <c r="D18"/>
      <c r="E18"/>
      <c r="F18" s="199"/>
      <c r="G18" s="62"/>
      <c r="H18" s="62"/>
      <c r="I18" s="62"/>
      <c r="J18" s="62"/>
      <c r="K18" s="62"/>
      <c r="L18" s="61"/>
      <c r="M18"/>
      <c r="N18"/>
    </row>
    <row r="19" spans="1:14" ht="9" customHeight="1" x14ac:dyDescent="0.2">
      <c r="A19"/>
      <c r="B19"/>
      <c r="C19"/>
      <c r="D19"/>
      <c r="E19"/>
      <c r="F19" s="175"/>
      <c r="G19"/>
      <c r="H19"/>
      <c r="I19"/>
      <c r="J19"/>
      <c r="K19"/>
      <c r="L19" s="176"/>
      <c r="M19"/>
      <c r="N19"/>
    </row>
    <row r="20" spans="1:14" s="156" customFormat="1" ht="21.75" customHeight="1" x14ac:dyDescent="0.2">
      <c r="A20"/>
      <c r="B20"/>
      <c r="C20" s="22"/>
      <c r="D20" s="22"/>
      <c r="E20" s="22"/>
      <c r="F20" s="177"/>
      <c r="G20" s="22"/>
      <c r="H20" s="164" t="s">
        <v>85</v>
      </c>
      <c r="I20" s="178" t="s">
        <v>8</v>
      </c>
      <c r="J20" s="143">
        <f>IF(ROUND(Saisie!O14,2)=0,'Coti ASRA prev'!$B$1,Saisie!O16/100)</f>
        <v>6.7999868170253927E-2</v>
      </c>
      <c r="K20" s="143" t="str">
        <f>IF(ROUND(Saisie!P14,2)=0,'Coti ASRA prev'!$B$1,Saisie!P16/100)</f>
        <v xml:space="preserve">    -     $</v>
      </c>
      <c r="L20" s="179"/>
      <c r="M20" s="22"/>
      <c r="N20" s="22"/>
    </row>
    <row r="21" spans="1:14" s="156" customFormat="1" ht="21.75" customHeight="1" x14ac:dyDescent="0.2">
      <c r="A21"/>
      <c r="B21"/>
      <c r="C21" s="22"/>
      <c r="D21" s="22"/>
      <c r="E21" s="22"/>
      <c r="F21" s="192"/>
      <c r="G21" s="193"/>
      <c r="H21" s="194"/>
      <c r="I21" s="195" t="str">
        <f>"$/porc 
("&amp;ROUND(Saisie!O19,1)&amp;" kg)"</f>
        <v>$/porc 
(112,9 kg)</v>
      </c>
      <c r="J21" s="196">
        <f>IF(ROUND(Saisie!O14,2)=0,'Coti ASRA prev'!$B$1,J20*Saisie!O19)</f>
        <v>7.6771851164216685</v>
      </c>
      <c r="K21" s="196" t="str">
        <f>IF(ROUND(Saisie!P14,2)=0,'Coti ASRA prev'!$B$1,K20*Saisie!P19)</f>
        <v xml:space="preserve">    -     $</v>
      </c>
      <c r="L21" s="197"/>
      <c r="M21" s="22"/>
      <c r="N21" s="22"/>
    </row>
    <row r="22" spans="1:14" s="156" customFormat="1" ht="21.75" customHeight="1" x14ac:dyDescent="0.2">
      <c r="A22"/>
      <c r="B22"/>
      <c r="C22" s="22"/>
      <c r="D22" s="22"/>
      <c r="E22" s="22"/>
      <c r="F22" s="180"/>
      <c r="G22" s="181"/>
      <c r="H22" s="182" t="s">
        <v>76</v>
      </c>
      <c r="I22" s="183" t="s">
        <v>74</v>
      </c>
      <c r="J22" s="142">
        <f>IF(ROUND(Saisie!O14,2)=0,'Coti ASRA prev'!$B$1,Saisie!O15)</f>
        <v>76.863063428106656</v>
      </c>
      <c r="K22" s="142" t="str">
        <f>IF(ROUND(Saisie!P14,2)=0,'Coti ASRA prev'!$B$1,Saisie!P15)</f>
        <v xml:space="preserve">    -     $</v>
      </c>
      <c r="L22" s="184"/>
      <c r="M22" s="22"/>
      <c r="N22" s="22"/>
    </row>
    <row r="23" spans="1:14" s="156" customFormat="1" ht="21.95" customHeight="1" x14ac:dyDescent="0.2">
      <c r="A23"/>
      <c r="B23"/>
      <c r="C23" s="22"/>
      <c r="D23" s="22"/>
      <c r="E23" s="22"/>
      <c r="F23" s="22"/>
      <c r="G23" s="22"/>
      <c r="H23" s="22"/>
      <c r="I23" s="22"/>
      <c r="J23" s="22"/>
      <c r="K23" s="22"/>
      <c r="L23" s="22"/>
      <c r="M23" s="22"/>
      <c r="N23" s="22"/>
    </row>
    <row r="24" spans="1:14" s="156" customFormat="1" ht="21.75" customHeight="1" x14ac:dyDescent="0.2">
      <c r="A24"/>
      <c r="B24"/>
      <c r="C24" s="22"/>
      <c r="D24" s="22"/>
      <c r="E24" s="22"/>
      <c r="F24" s="22"/>
      <c r="G24" s="169" t="s">
        <v>81</v>
      </c>
      <c r="H24" s="22"/>
      <c r="I24" s="22"/>
      <c r="J24" s="198">
        <f>J16</f>
        <v>2024</v>
      </c>
      <c r="K24" s="198">
        <f>K16</f>
        <v>2025</v>
      </c>
      <c r="L24" s="22"/>
      <c r="M24" s="22"/>
      <c r="N24" s="22"/>
    </row>
    <row r="25" spans="1:14" s="156" customFormat="1" ht="9" customHeight="1" x14ac:dyDescent="0.2">
      <c r="A25"/>
      <c r="B25"/>
      <c r="C25"/>
      <c r="D25"/>
      <c r="E25"/>
      <c r="F25" s="189"/>
      <c r="G25" s="190"/>
      <c r="H25" s="190"/>
      <c r="I25" s="190"/>
      <c r="J25" s="190"/>
      <c r="K25" s="190"/>
      <c r="L25" s="191"/>
      <c r="M25"/>
      <c r="N25"/>
    </row>
    <row r="26" spans="1:14" ht="21.95" customHeight="1" x14ac:dyDescent="0.2">
      <c r="A26"/>
      <c r="B26"/>
      <c r="C26" s="22"/>
      <c r="D26" s="22"/>
      <c r="E26" s="22"/>
      <c r="F26" s="177"/>
      <c r="G26" s="22"/>
      <c r="H26" s="164" t="s">
        <v>85</v>
      </c>
      <c r="I26" s="178" t="s">
        <v>8</v>
      </c>
      <c r="J26" s="143">
        <f>Saisie!O30</f>
        <v>7.3899999999999993E-2</v>
      </c>
      <c r="K26" s="143">
        <f>Saisie!P30</f>
        <v>7.3899999999999993E-2</v>
      </c>
      <c r="L26" s="179"/>
      <c r="M26" s="22"/>
      <c r="N26" s="22"/>
    </row>
    <row r="27" spans="1:14" s="156" customFormat="1" ht="21.75" customHeight="1" x14ac:dyDescent="0.2">
      <c r="A27"/>
      <c r="B27"/>
      <c r="C27" s="22"/>
      <c r="D27" s="22"/>
      <c r="E27" s="22"/>
      <c r="F27" s="192"/>
      <c r="G27" s="193"/>
      <c r="H27" s="194"/>
      <c r="I27" s="195" t="str">
        <f>"$/porc 
("&amp;ROUND(Saisie!P19,1)&amp;" kg)"</f>
        <v>$/porc 
(112,9 kg)</v>
      </c>
      <c r="J27" s="196">
        <f>J26*Saisie!O19</f>
        <v>8.3433099999999989</v>
      </c>
      <c r="K27" s="196">
        <f>K26*Saisie!P19</f>
        <v>8.3433099999999989</v>
      </c>
      <c r="L27" s="197"/>
      <c r="M27" s="22"/>
      <c r="N27" s="22"/>
    </row>
    <row r="28" spans="1:14" s="156" customFormat="1" ht="21.75" customHeight="1" x14ac:dyDescent="0.2">
      <c r="A28"/>
      <c r="B28"/>
      <c r="C28" s="22"/>
      <c r="D28" s="22"/>
      <c r="E28" s="22"/>
      <c r="F28" s="180"/>
      <c r="G28" s="181"/>
      <c r="H28" s="182" t="s">
        <v>76</v>
      </c>
      <c r="I28" s="183" t="s">
        <v>74</v>
      </c>
      <c r="J28" s="142">
        <f>Saisie!O29</f>
        <v>90.15</v>
      </c>
      <c r="K28" s="142">
        <f>Saisie!P29</f>
        <v>90.15</v>
      </c>
      <c r="L28" s="184"/>
      <c r="M28" s="22"/>
      <c r="N28" s="22"/>
    </row>
    <row r="29" spans="1:14" s="156" customFormat="1" ht="21.75" customHeight="1" x14ac:dyDescent="0.2">
      <c r="A29"/>
      <c r="B29"/>
      <c r="C29"/>
      <c r="D29"/>
      <c r="E29"/>
      <c r="F29"/>
      <c r="G29"/>
      <c r="H29"/>
      <c r="I29"/>
      <c r="J29"/>
      <c r="K29"/>
      <c r="L29"/>
      <c r="M29"/>
      <c r="N29"/>
    </row>
    <row r="30" spans="1:14" x14ac:dyDescent="0.2">
      <c r="A30"/>
      <c r="B30"/>
      <c r="C30" s="224" t="s">
        <v>113</v>
      </c>
      <c r="D30"/>
      <c r="E30"/>
      <c r="F30"/>
      <c r="G30"/>
      <c r="H30"/>
      <c r="I30"/>
      <c r="J30"/>
      <c r="K30"/>
      <c r="L30"/>
      <c r="M30"/>
      <c r="N30"/>
    </row>
    <row r="31" spans="1:14" x14ac:dyDescent="0.2">
      <c r="A31"/>
      <c r="B31"/>
      <c r="C31" s="187" t="s">
        <v>125</v>
      </c>
      <c r="D31" s="188"/>
      <c r="E31" s="188"/>
      <c r="F31" s="188"/>
      <c r="G31" s="188"/>
      <c r="H31" s="188"/>
      <c r="I31" s="188"/>
      <c r="J31" s="188"/>
      <c r="K31" s="188"/>
      <c r="L31" s="188"/>
      <c r="M31" s="188"/>
      <c r="N31" s="188"/>
    </row>
    <row r="32" spans="1:14" x14ac:dyDescent="0.2">
      <c r="F32" s="157"/>
    </row>
    <row r="33" spans="6:6" x14ac:dyDescent="0.2">
      <c r="F33" s="157"/>
    </row>
  </sheetData>
  <sheetProtection sheet="1" objects="1" scenarios="1" selectLockedCells="1"/>
  <phoneticPr fontId="2" type="noConversion"/>
  <printOptions horizontalCentered="1"/>
  <pageMargins left="0.2" right="0.2" top="0.7" bottom="0.2" header="0.12" footer="0.12"/>
  <pageSetup scale="7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1B401-6EB3-4778-A86D-202B18B45785}">
  <dimension ref="A1:U44"/>
  <sheetViews>
    <sheetView zoomScaleNormal="100" workbookViewId="0">
      <selection activeCell="F13" sqref="F13"/>
    </sheetView>
  </sheetViews>
  <sheetFormatPr baseColWidth="10" defaultRowHeight="12.75" x14ac:dyDescent="0.2"/>
  <cols>
    <col min="1" max="1" width="7" customWidth="1"/>
    <col min="2" max="2" width="6.7109375" customWidth="1"/>
    <col min="3" max="3" width="11.42578125" customWidth="1"/>
    <col min="11" max="11" width="5.42578125" customWidth="1"/>
    <col min="14" max="14" width="24" customWidth="1"/>
  </cols>
  <sheetData>
    <row r="1" spans="1:21" ht="13.5" thickBot="1" x14ac:dyDescent="0.25">
      <c r="B1" s="205"/>
      <c r="C1" s="69" t="s">
        <v>64</v>
      </c>
      <c r="D1" s="344" t="s">
        <v>63</v>
      </c>
      <c r="E1" s="43"/>
      <c r="F1" s="23" t="s">
        <v>40</v>
      </c>
      <c r="H1" s="24" t="s">
        <v>41</v>
      </c>
      <c r="I1" s="39"/>
      <c r="J1" s="112">
        <v>45590</v>
      </c>
    </row>
    <row r="2" spans="1:21" x14ac:dyDescent="0.2">
      <c r="B2" s="205"/>
      <c r="C2" s="25"/>
      <c r="D2" s="26"/>
      <c r="E2" s="26"/>
      <c r="F2" s="26"/>
      <c r="G2" s="27" t="s">
        <v>42</v>
      </c>
      <c r="H2" s="27" t="s">
        <v>42</v>
      </c>
      <c r="I2" s="28" t="s">
        <v>42</v>
      </c>
      <c r="J2" s="29" t="s">
        <v>43</v>
      </c>
      <c r="O2" s="351" t="s">
        <v>119</v>
      </c>
      <c r="P2" s="62"/>
      <c r="Q2" s="62"/>
      <c r="R2" s="62"/>
      <c r="S2" s="62"/>
      <c r="T2" s="62"/>
    </row>
    <row r="3" spans="1:21" ht="13.5" thickBot="1" x14ac:dyDescent="0.25">
      <c r="A3" s="30" t="s">
        <v>36</v>
      </c>
      <c r="B3" s="38" t="s">
        <v>44</v>
      </c>
      <c r="C3" s="31" t="s">
        <v>45</v>
      </c>
      <c r="D3" s="32" t="s">
        <v>46</v>
      </c>
      <c r="E3" s="32" t="s">
        <v>47</v>
      </c>
      <c r="F3" s="32" t="s">
        <v>3</v>
      </c>
      <c r="G3" s="33" t="s">
        <v>25</v>
      </c>
      <c r="H3" s="33" t="s">
        <v>48</v>
      </c>
      <c r="I3" s="34" t="s">
        <v>26</v>
      </c>
      <c r="J3" s="40" t="s">
        <v>49</v>
      </c>
      <c r="N3" s="61"/>
      <c r="O3" s="150" t="str">
        <f>D3</f>
        <v>Maïs</v>
      </c>
      <c r="P3" s="151" t="str">
        <f>E3</f>
        <v>T soja</v>
      </c>
      <c r="Q3" s="152" t="str">
        <f>F3</f>
        <v>Porc</v>
      </c>
      <c r="R3" s="63" t="str">
        <f>G2&amp;" "&amp;G3</f>
        <v>Moulées Truies</v>
      </c>
      <c r="S3" s="63" t="str">
        <f>H2&amp;" "&amp;H3</f>
        <v>Moulées Pclts</v>
      </c>
      <c r="T3" s="63" t="str">
        <f>I2&amp;" "&amp;I3</f>
        <v>Moulées Porcs</v>
      </c>
    </row>
    <row r="4" spans="1:21" ht="15.75" thickBot="1" x14ac:dyDescent="0.25">
      <c r="B4" s="205"/>
      <c r="C4" s="97">
        <v>2023</v>
      </c>
      <c r="D4" s="372">
        <v>343.26249999999999</v>
      </c>
      <c r="E4" s="372">
        <v>740.16250000000002</v>
      </c>
      <c r="F4" s="98">
        <v>187.18471901010227</v>
      </c>
      <c r="G4" s="99">
        <v>411.83714800000001</v>
      </c>
      <c r="H4" s="100">
        <v>650.06826437500001</v>
      </c>
      <c r="I4" s="101">
        <v>457.72271662500003</v>
      </c>
      <c r="J4" s="44">
        <v>1.349873557692308</v>
      </c>
      <c r="N4" s="60">
        <f>'Résultats vs 2023'!C47</f>
        <v>2024</v>
      </c>
      <c r="O4" s="227">
        <f ca="1">'Résultats vs 2023'!D47</f>
        <v>77.780251286221585</v>
      </c>
      <c r="P4" s="227">
        <f ca="1">'Résultats vs 2023'!F47</f>
        <v>84.056820102390944</v>
      </c>
      <c r="Q4" s="227">
        <f ca="1">'Résultats vs 2023'!H47</f>
        <v>107.1841478868147</v>
      </c>
      <c r="R4" s="227">
        <f ca="1">'Résultats vs 2023'!J47</f>
        <v>85.468591191489026</v>
      </c>
      <c r="S4" s="227">
        <f ca="1">'Résultats vs 2023'!L47</f>
        <v>87.454783406826891</v>
      </c>
      <c r="T4" s="228">
        <f ca="1">'Résultats vs 2023'!N47</f>
        <v>85.227602459972971</v>
      </c>
    </row>
    <row r="5" spans="1:21" ht="15.75" customHeight="1" thickTop="1" thickBot="1" x14ac:dyDescent="0.25">
      <c r="A5" s="104"/>
      <c r="B5" s="105" t="str">
        <f>B6</f>
        <v>Moyenne</v>
      </c>
      <c r="C5" s="106" t="s">
        <v>120</v>
      </c>
      <c r="D5" s="406">
        <f>AVERAGE(D9:D14)</f>
        <v>270.125</v>
      </c>
      <c r="E5" s="406">
        <f t="shared" ref="E5:H5" si="0">AVERAGE(E9:E14)</f>
        <v>632.99166666666667</v>
      </c>
      <c r="F5" s="49">
        <f>AVERAGE(F9:F14)</f>
        <v>196.19570969105203</v>
      </c>
      <c r="G5" s="50">
        <f t="shared" si="0"/>
        <v>354.65648000000004</v>
      </c>
      <c r="H5" s="49">
        <f t="shared" si="0"/>
        <v>573.73603808333337</v>
      </c>
      <c r="I5" s="51">
        <f>AVERAGE(I9:I14)</f>
        <v>393.83206124999998</v>
      </c>
      <c r="J5" s="58"/>
      <c r="N5" s="60">
        <f>'Résultats vs 2023'!C48</f>
        <v>2025</v>
      </c>
      <c r="O5" s="227">
        <f ca="1">'Résultats vs 2023'!D48</f>
        <v>87.290290858744498</v>
      </c>
      <c r="P5" s="227">
        <f ca="1">'Résultats vs 2023'!F48</f>
        <v>75.966666721520326</v>
      </c>
      <c r="Q5" s="227">
        <f ca="1">'Résultats vs 2023'!H48</f>
        <v>113.84207804896556</v>
      </c>
      <c r="R5" s="227">
        <f ca="1">'Résultats vs 2023'!J48</f>
        <v>90.767327425021804</v>
      </c>
      <c r="S5" s="227">
        <f ca="1">'Résultats vs 2023'!L48</f>
        <v>87.522225702974083</v>
      </c>
      <c r="T5" s="229">
        <f ca="1">'Résultats vs 2023'!N48</f>
        <v>87.733749382677644</v>
      </c>
    </row>
    <row r="6" spans="1:21" ht="13.5" thickBot="1" x14ac:dyDescent="0.25">
      <c r="B6" s="5" t="s">
        <v>50</v>
      </c>
      <c r="C6" s="234">
        <f>YEAR(C20)</f>
        <v>2024</v>
      </c>
      <c r="D6" s="406">
        <f ca="1">AVERAGEIF($A$9:D$44,$C6,D$9:D$44)</f>
        <v>266.99043507136633</v>
      </c>
      <c r="E6" s="406">
        <f ca="1">AVERAGEIF($A$9:E$44,$C6,E$9:E$44)</f>
        <v>622.15706109035943</v>
      </c>
      <c r="F6" s="49">
        <f ca="1">AVERAGEIF($A$9:F$44,$C6,F$9:F$44)</f>
        <v>200.63234604530658</v>
      </c>
      <c r="G6" s="50">
        <f ca="1">AVERAGEIF($A$9:G$44,$C6,G$9:G$44)</f>
        <v>351.99140839880761</v>
      </c>
      <c r="H6" s="49">
        <f ca="1">AVERAGEIF($A$9:H$44,$C6,H$9:H$44)</f>
        <v>568.51579260567507</v>
      </c>
      <c r="I6" s="51">
        <f ca="1">AVERAGEIF($A$9:I$44,$C6,I$9:I$44)</f>
        <v>390.10609729414364</v>
      </c>
      <c r="J6" s="58">
        <f>AVERAGE(J9:J20)</f>
        <v>1.3643293955257894</v>
      </c>
      <c r="L6" s="201"/>
      <c r="N6" s="68"/>
      <c r="O6" s="235">
        <f ca="1">D6/D4</f>
        <v>0.7778025128622158</v>
      </c>
      <c r="P6" s="235">
        <f t="shared" ref="P6:T6" ca="1" si="1">E6/E4</f>
        <v>0.8405682010239095</v>
      </c>
      <c r="Q6" s="235">
        <f t="shared" ca="1" si="1"/>
        <v>1.071841478868147</v>
      </c>
      <c r="R6" s="235">
        <f t="shared" ca="1" si="1"/>
        <v>0.85468591191489018</v>
      </c>
      <c r="S6" s="235">
        <f t="shared" ca="1" si="1"/>
        <v>0.87454783406826886</v>
      </c>
      <c r="T6" s="235">
        <f t="shared" ca="1" si="1"/>
        <v>0.85227602459972973</v>
      </c>
    </row>
    <row r="7" spans="1:21" ht="13.5" thickBot="1" x14ac:dyDescent="0.25">
      <c r="B7" s="5" t="s">
        <v>50</v>
      </c>
      <c r="C7" s="234">
        <f>C6+1</f>
        <v>2025</v>
      </c>
      <c r="D7" s="406">
        <f ca="1">AVERAGEIF($A$9:D$44,$C7,D$9:D$44)</f>
        <v>299.63483465899782</v>
      </c>
      <c r="E7" s="406">
        <f ca="1">AVERAGEIF($A$9:E$44,$C7,E$9:E$44)</f>
        <v>562.27677957267292</v>
      </c>
      <c r="F7" s="49">
        <f ca="1">AVERAGEIF($A$9:F$44,$C7,F$9:F$44)</f>
        <v>213.09497391121749</v>
      </c>
      <c r="G7" s="50">
        <f ca="1">AVERAGEIF($A$9:G$44,$C7,G$9:G$44)</f>
        <v>373.81357258303166</v>
      </c>
      <c r="H7" s="49">
        <f ca="1">AVERAGEIF($A$9:H$44,$C7,H$9:H$44)</f>
        <v>568.95421356969382</v>
      </c>
      <c r="I7" s="51">
        <f ca="1">AVERAGEIF($A$9:I$44,$C7,I$9:I$44)</f>
        <v>401.57730107136126</v>
      </c>
      <c r="J7" s="48">
        <f>AVERAGE(J21:J32)</f>
        <v>1.3799448022079124</v>
      </c>
      <c r="L7" s="202"/>
      <c r="M7" s="202"/>
      <c r="N7" s="202"/>
      <c r="O7" s="235">
        <f ca="1">D7/D4</f>
        <v>0.87290290858744501</v>
      </c>
      <c r="P7" s="235">
        <f t="shared" ref="P7:S7" ca="1" si="2">E7/E4</f>
        <v>0.75966666721520326</v>
      </c>
      <c r="Q7" s="235">
        <f ca="1">F7/F4</f>
        <v>1.1384207804896556</v>
      </c>
      <c r="R7" s="235">
        <f t="shared" ca="1" si="2"/>
        <v>0.90767327425021804</v>
      </c>
      <c r="S7" s="235">
        <f t="shared" ca="1" si="2"/>
        <v>0.87522225702974088</v>
      </c>
      <c r="T7" s="235">
        <f ca="1">I7/I4</f>
        <v>0.87733749382677639</v>
      </c>
      <c r="U7" s="235"/>
    </row>
    <row r="8" spans="1:21" ht="13.5" thickBot="1" x14ac:dyDescent="0.25">
      <c r="A8" s="102"/>
      <c r="B8" s="103" t="s">
        <v>50</v>
      </c>
      <c r="C8" s="354">
        <f>C7+1</f>
        <v>2026</v>
      </c>
      <c r="D8" s="406">
        <v>0</v>
      </c>
      <c r="E8" s="406">
        <v>0</v>
      </c>
      <c r="F8" s="49">
        <v>0</v>
      </c>
      <c r="G8" s="50">
        <v>0</v>
      </c>
      <c r="H8" s="49">
        <v>0</v>
      </c>
      <c r="I8" s="51">
        <v>0</v>
      </c>
      <c r="J8" s="58">
        <v>0</v>
      </c>
      <c r="O8" s="202"/>
    </row>
    <row r="9" spans="1:21" ht="15" x14ac:dyDescent="0.25">
      <c r="A9" s="205">
        <f>YEAR(C9)</f>
        <v>2024</v>
      </c>
      <c r="B9" s="35">
        <v>1</v>
      </c>
      <c r="C9" s="345">
        <v>45292</v>
      </c>
      <c r="D9" s="371">
        <v>291</v>
      </c>
      <c r="E9" s="371">
        <v>683</v>
      </c>
      <c r="F9" s="45">
        <v>177.8935991633638</v>
      </c>
      <c r="G9" s="46">
        <v>371.64411999999999</v>
      </c>
      <c r="H9" s="45">
        <v>601.58623</v>
      </c>
      <c r="I9" s="47">
        <v>415.14094999999998</v>
      </c>
      <c r="J9" s="48">
        <v>1.340036853276414</v>
      </c>
      <c r="O9" s="219" t="s">
        <v>114</v>
      </c>
      <c r="P9" s="218"/>
    </row>
    <row r="10" spans="1:21" ht="15" x14ac:dyDescent="0.25">
      <c r="A10" s="205">
        <f t="shared" ref="A10:A44" si="3">YEAR(C10)</f>
        <v>2024</v>
      </c>
      <c r="B10" s="205">
        <f>B9</f>
        <v>1</v>
      </c>
      <c r="C10" s="345">
        <v>45323</v>
      </c>
      <c r="D10" s="371">
        <v>267.5</v>
      </c>
      <c r="E10" s="371">
        <v>629</v>
      </c>
      <c r="F10" s="45">
        <v>183.31041542473918</v>
      </c>
      <c r="G10" s="46">
        <v>352.59920500000004</v>
      </c>
      <c r="H10" s="45">
        <v>570.95105000000001</v>
      </c>
      <c r="I10" s="47">
        <v>391.51596999999998</v>
      </c>
      <c r="J10" s="48">
        <v>1.3497098123903362</v>
      </c>
      <c r="O10" s="41">
        <v>2024</v>
      </c>
      <c r="P10" s="41">
        <v>2025</v>
      </c>
    </row>
    <row r="11" spans="1:21" ht="14.25" x14ac:dyDescent="0.2">
      <c r="A11" s="205">
        <f t="shared" si="3"/>
        <v>2024</v>
      </c>
      <c r="B11" s="205">
        <f>B10</f>
        <v>1</v>
      </c>
      <c r="C11" s="345">
        <v>45352</v>
      </c>
      <c r="D11" s="371">
        <v>257.5</v>
      </c>
      <c r="E11" s="371">
        <v>603</v>
      </c>
      <c r="F11" s="45">
        <v>192.14448970290027</v>
      </c>
      <c r="G11" s="46">
        <v>344.39120500000001</v>
      </c>
      <c r="H11" s="45">
        <v>556.97146999999995</v>
      </c>
      <c r="I11" s="47">
        <v>380.98467000000005</v>
      </c>
      <c r="J11" s="48">
        <v>1.3540961408259986</v>
      </c>
      <c r="N11" s="64" t="str">
        <f>"Prix du Pool, ind. 100, référence : "&amp;O10-1</f>
        <v>Prix du Pool, ind. 100, référence : 2023</v>
      </c>
      <c r="O11" s="70">
        <v>187.44777868529488</v>
      </c>
      <c r="P11" s="70">
        <v>187.44777868529488</v>
      </c>
    </row>
    <row r="12" spans="1:21" ht="14.25" x14ac:dyDescent="0.2">
      <c r="A12" s="205">
        <f t="shared" si="3"/>
        <v>2024</v>
      </c>
      <c r="B12" s="205">
        <f>B11+1</f>
        <v>2</v>
      </c>
      <c r="C12" s="345">
        <v>45383</v>
      </c>
      <c r="D12" s="371">
        <v>262.75</v>
      </c>
      <c r="E12" s="371">
        <v>590.75</v>
      </c>
      <c r="F12" s="45">
        <v>206.5980322049594</v>
      </c>
      <c r="G12" s="46">
        <v>347.81074000000001</v>
      </c>
      <c r="H12" s="45">
        <v>556.22399250000001</v>
      </c>
      <c r="I12" s="47">
        <v>382.41492749999998</v>
      </c>
      <c r="J12" s="48">
        <v>1.3661202185792349</v>
      </c>
      <c r="N12" s="64" t="s">
        <v>51</v>
      </c>
      <c r="O12" s="70">
        <v>1</v>
      </c>
      <c r="P12" s="70">
        <v>1</v>
      </c>
    </row>
    <row r="13" spans="1:21" ht="14.25" x14ac:dyDescent="0.2">
      <c r="A13" s="205">
        <f t="shared" si="3"/>
        <v>2024</v>
      </c>
      <c r="B13" s="205">
        <f t="shared" ref="B13:B20" si="4">B12</f>
        <v>2</v>
      </c>
      <c r="C13" s="345">
        <v>45413</v>
      </c>
      <c r="D13" s="371">
        <v>270</v>
      </c>
      <c r="E13" s="371">
        <v>630.20000000000005</v>
      </c>
      <c r="F13" s="45">
        <v>208.43186939156973</v>
      </c>
      <c r="G13" s="46">
        <v>354.46915000000001</v>
      </c>
      <c r="H13" s="45">
        <v>572.79112600000008</v>
      </c>
      <c r="I13" s="47">
        <v>393.31007</v>
      </c>
      <c r="J13" s="48">
        <v>1.3672409078479628</v>
      </c>
      <c r="N13" s="116" t="s">
        <v>65</v>
      </c>
      <c r="O13" s="71">
        <v>233.38929919239737</v>
      </c>
      <c r="P13" s="71">
        <v>235.13135250495418</v>
      </c>
    </row>
    <row r="14" spans="1:21" ht="14.25" x14ac:dyDescent="0.2">
      <c r="A14" s="205">
        <f t="shared" si="3"/>
        <v>2024</v>
      </c>
      <c r="B14" s="205">
        <f t="shared" si="4"/>
        <v>2</v>
      </c>
      <c r="C14" s="345">
        <v>45444</v>
      </c>
      <c r="D14" s="371">
        <v>272</v>
      </c>
      <c r="E14" s="371">
        <v>662</v>
      </c>
      <c r="F14" s="45">
        <v>208.79585225877989</v>
      </c>
      <c r="G14" s="46">
        <v>357.02445999999998</v>
      </c>
      <c r="H14" s="45">
        <v>583.89236000000005</v>
      </c>
      <c r="I14" s="47">
        <v>399.62578000000002</v>
      </c>
      <c r="J14" s="48">
        <v>1.3702384214853385</v>
      </c>
      <c r="N14" s="64" t="s">
        <v>52</v>
      </c>
      <c r="O14" s="71">
        <v>10.30301032882636</v>
      </c>
      <c r="P14" s="71">
        <v>0</v>
      </c>
    </row>
    <row r="15" spans="1:21" ht="14.25" x14ac:dyDescent="0.2">
      <c r="A15" s="205">
        <f t="shared" si="3"/>
        <v>2024</v>
      </c>
      <c r="B15" s="205">
        <f>B14+1</f>
        <v>3</v>
      </c>
      <c r="C15" s="345">
        <v>45474</v>
      </c>
      <c r="D15" s="371">
        <v>260.60000000000002</v>
      </c>
      <c r="E15" s="371">
        <v>651.79999999999995</v>
      </c>
      <c r="F15" s="45">
        <v>207.77396891728009</v>
      </c>
      <c r="G15" s="46">
        <v>348.335104</v>
      </c>
      <c r="H15" s="45">
        <v>574.02539000000002</v>
      </c>
      <c r="I15" s="47">
        <v>390.69647799999996</v>
      </c>
      <c r="J15" s="48">
        <v>1.3708019191226868</v>
      </c>
      <c r="N15" s="64" t="s">
        <v>53</v>
      </c>
      <c r="O15" s="72">
        <v>76.863063428106656</v>
      </c>
      <c r="P15" s="71">
        <v>0</v>
      </c>
    </row>
    <row r="16" spans="1:21" ht="14.25" x14ac:dyDescent="0.2">
      <c r="A16" s="205">
        <f t="shared" si="3"/>
        <v>2024</v>
      </c>
      <c r="B16" s="205">
        <f t="shared" si="4"/>
        <v>3</v>
      </c>
      <c r="C16" s="345">
        <v>45505</v>
      </c>
      <c r="D16" s="371">
        <v>256.5</v>
      </c>
      <c r="E16" s="371">
        <v>670.5</v>
      </c>
      <c r="F16" s="45">
        <v>212.54453787343718</v>
      </c>
      <c r="G16" s="46">
        <v>345.97834</v>
      </c>
      <c r="H16" s="45">
        <v>577.46083500000009</v>
      </c>
      <c r="I16" s="47">
        <v>391.02486500000003</v>
      </c>
      <c r="J16" s="48">
        <v>1.3678019422787582</v>
      </c>
      <c r="N16" s="64" t="s">
        <v>54</v>
      </c>
      <c r="O16" s="72">
        <v>6.7999868170253928</v>
      </c>
      <c r="P16" s="71">
        <v>0</v>
      </c>
    </row>
    <row r="17" spans="1:20" x14ac:dyDescent="0.2">
      <c r="A17" s="205">
        <f t="shared" si="3"/>
        <v>2024</v>
      </c>
      <c r="B17" s="205">
        <f t="shared" si="4"/>
        <v>3</v>
      </c>
      <c r="C17" s="345">
        <v>45536</v>
      </c>
      <c r="D17" s="371">
        <v>249.75</v>
      </c>
      <c r="E17" s="371">
        <v>654</v>
      </c>
      <c r="F17" s="45">
        <v>202.34697735704236</v>
      </c>
      <c r="G17" s="46">
        <v>340.47400750000003</v>
      </c>
      <c r="H17" s="45">
        <v>568.35246000000006</v>
      </c>
      <c r="I17" s="47">
        <v>384.08240000000001</v>
      </c>
      <c r="J17" s="48">
        <v>1.3544629554381689</v>
      </c>
      <c r="N17" s="5" t="str">
        <f>"Indexation totale pondérée aliment modèle N-F, année/"&amp;O10-1</f>
        <v>Indexation totale pondérée aliment modèle N-F, année/2023</v>
      </c>
      <c r="O17" s="73">
        <v>-0.15325849592604879</v>
      </c>
      <c r="P17" s="73">
        <v>-0.12816135273270368</v>
      </c>
      <c r="Q17" s="59"/>
    </row>
    <row r="18" spans="1:20" ht="14.25" x14ac:dyDescent="0.2">
      <c r="A18" s="205">
        <f t="shared" si="3"/>
        <v>2024</v>
      </c>
      <c r="B18" s="205">
        <f>B17+1</f>
        <v>4</v>
      </c>
      <c r="C18" s="345">
        <v>45566</v>
      </c>
      <c r="D18" s="371">
        <v>250.6</v>
      </c>
      <c r="E18" s="371">
        <v>578.4</v>
      </c>
      <c r="F18" s="45">
        <v>210.80210640873435</v>
      </c>
      <c r="G18" s="46">
        <v>338.49891399999996</v>
      </c>
      <c r="H18" s="45">
        <v>545.24610800000005</v>
      </c>
      <c r="I18" s="47">
        <v>372.66412800000001</v>
      </c>
      <c r="J18" s="48">
        <v>1.3715539706487452</v>
      </c>
      <c r="N18" s="68" t="s">
        <v>55</v>
      </c>
      <c r="O18" s="359">
        <v>1.0249999999999999</v>
      </c>
      <c r="P18" s="359">
        <v>1.0249999999999999</v>
      </c>
      <c r="Q18" s="59"/>
    </row>
    <row r="19" spans="1:20" x14ac:dyDescent="0.2">
      <c r="A19" s="205">
        <f t="shared" si="3"/>
        <v>2024</v>
      </c>
      <c r="B19" s="205">
        <f t="shared" si="4"/>
        <v>4</v>
      </c>
      <c r="C19" s="53">
        <v>45597</v>
      </c>
      <c r="D19" s="45">
        <v>276.78042113333692</v>
      </c>
      <c r="E19" s="45">
        <v>552.50451715417807</v>
      </c>
      <c r="F19" s="45">
        <v>202.72641873606338</v>
      </c>
      <c r="G19" s="46">
        <v>356.76012041907063</v>
      </c>
      <c r="H19" s="45">
        <v>552.5066770425658</v>
      </c>
      <c r="I19" s="47">
        <v>385.36562047248833</v>
      </c>
      <c r="J19" s="48">
        <v>1.3799448022079119</v>
      </c>
      <c r="N19" s="5" t="s">
        <v>61</v>
      </c>
      <c r="O19" s="113">
        <v>112.9</v>
      </c>
      <c r="P19" s="113">
        <v>112.9</v>
      </c>
    </row>
    <row r="20" spans="1:20" ht="13.5" thickBot="1" x14ac:dyDescent="0.25">
      <c r="A20" s="36">
        <f t="shared" si="3"/>
        <v>2024</v>
      </c>
      <c r="B20" s="37">
        <f t="shared" si="4"/>
        <v>4</v>
      </c>
      <c r="C20" s="57">
        <v>45627</v>
      </c>
      <c r="D20" s="49">
        <v>288.90479972305923</v>
      </c>
      <c r="E20" s="49">
        <v>560.73021593013584</v>
      </c>
      <c r="F20" s="49">
        <v>194.21988510480918</v>
      </c>
      <c r="G20" s="50">
        <v>365.91153486662074</v>
      </c>
      <c r="H20" s="49">
        <v>562.18181272553466</v>
      </c>
      <c r="I20" s="51">
        <v>394.44730855723662</v>
      </c>
      <c r="J20" s="52">
        <v>1.3799448022079119</v>
      </c>
      <c r="N20" s="5" t="s">
        <v>67</v>
      </c>
      <c r="O20" s="119">
        <v>0</v>
      </c>
      <c r="P20" s="120">
        <v>0</v>
      </c>
    </row>
    <row r="21" spans="1:20" x14ac:dyDescent="0.2">
      <c r="A21" s="205">
        <f t="shared" si="3"/>
        <v>2025</v>
      </c>
      <c r="B21" s="205">
        <f>B9</f>
        <v>1</v>
      </c>
      <c r="C21" s="53">
        <v>45658</v>
      </c>
      <c r="D21" s="45">
        <v>284.58913687274907</v>
      </c>
      <c r="E21" s="45">
        <v>541.86295922657825</v>
      </c>
      <c r="F21" s="45">
        <v>193.63761614536469</v>
      </c>
      <c r="G21" s="46">
        <v>362.10658038048018</v>
      </c>
      <c r="H21" s="45">
        <v>553.76122022864513</v>
      </c>
      <c r="I21" s="47">
        <v>388.69229064611164</v>
      </c>
      <c r="J21" s="44">
        <v>1.3799448022079119</v>
      </c>
      <c r="N21" s="5" t="s">
        <v>68</v>
      </c>
      <c r="O21" s="121">
        <v>1.61</v>
      </c>
      <c r="P21" s="119">
        <v>1.61</v>
      </c>
    </row>
    <row r="22" spans="1:20" x14ac:dyDescent="0.2">
      <c r="A22" s="205">
        <f t="shared" si="3"/>
        <v>2025</v>
      </c>
      <c r="B22" s="205">
        <f>B21</f>
        <v>1</v>
      </c>
      <c r="C22" s="53">
        <v>45689</v>
      </c>
      <c r="D22" s="45">
        <v>283.72593594452326</v>
      </c>
      <c r="E22" s="45">
        <v>534.93538823774065</v>
      </c>
      <c r="F22" s="45">
        <v>191.80175424346098</v>
      </c>
      <c r="G22" s="46">
        <v>361.23719547002571</v>
      </c>
      <c r="H22" s="45">
        <v>551.09225088271148</v>
      </c>
      <c r="I22" s="47">
        <v>387.04210376550412</v>
      </c>
      <c r="J22" s="48">
        <v>1.3799448022079119</v>
      </c>
      <c r="N22" s="5" t="s">
        <v>69</v>
      </c>
      <c r="O22" s="119">
        <v>234.81533993641861</v>
      </c>
      <c r="P22" s="119">
        <v>236.55739324897542</v>
      </c>
    </row>
    <row r="23" spans="1:20" x14ac:dyDescent="0.2">
      <c r="A23" s="205">
        <f t="shared" si="3"/>
        <v>2025</v>
      </c>
      <c r="B23" s="205">
        <f>B22</f>
        <v>1</v>
      </c>
      <c r="C23" s="53">
        <v>45717</v>
      </c>
      <c r="D23" s="45">
        <v>289.62545041935579</v>
      </c>
      <c r="E23" s="45">
        <v>544.88023758583699</v>
      </c>
      <c r="F23" s="45">
        <v>199.2746273856319</v>
      </c>
      <c r="G23" s="46">
        <v>365.89423688832807</v>
      </c>
      <c r="H23" s="45">
        <v>557.65539059923549</v>
      </c>
      <c r="I23" s="47">
        <v>392.40147662305094</v>
      </c>
      <c r="J23" s="48">
        <v>1.3799448022079119</v>
      </c>
      <c r="N23" s="5" t="s">
        <v>70</v>
      </c>
      <c r="O23" s="119">
        <v>223.08628886357101</v>
      </c>
      <c r="P23" s="119">
        <v>236.94368252364396</v>
      </c>
    </row>
    <row r="24" spans="1:20" x14ac:dyDescent="0.2">
      <c r="A24" s="205">
        <f t="shared" si="3"/>
        <v>2025</v>
      </c>
      <c r="B24" s="205">
        <f>B23+1</f>
        <v>2</v>
      </c>
      <c r="C24" s="53">
        <v>45748</v>
      </c>
      <c r="D24" s="45">
        <v>290.40606873369427</v>
      </c>
      <c r="E24" s="45">
        <v>552.6534788677252</v>
      </c>
      <c r="F24" s="45">
        <v>204.92080720536092</v>
      </c>
      <c r="G24" s="46">
        <v>366.73226221711639</v>
      </c>
      <c r="H24" s="45">
        <v>560.53999695581206</v>
      </c>
      <c r="I24" s="47">
        <v>394.13249921585447</v>
      </c>
      <c r="J24" s="48">
        <v>1.3799448022079119</v>
      </c>
    </row>
    <row r="25" spans="1:20" x14ac:dyDescent="0.2">
      <c r="A25" s="205">
        <f t="shared" si="3"/>
        <v>2025</v>
      </c>
      <c r="B25" s="205">
        <f t="shared" ref="B25:B32" si="5">B24</f>
        <v>2</v>
      </c>
      <c r="C25" s="53">
        <v>45778</v>
      </c>
      <c r="D25" s="45">
        <v>300.6838086883663</v>
      </c>
      <c r="E25" s="45">
        <v>565.30598017061811</v>
      </c>
      <c r="F25" s="45">
        <v>222.11964075768904</v>
      </c>
      <c r="G25" s="46">
        <v>374.6849396363138</v>
      </c>
      <c r="H25" s="45">
        <v>570.51488748944485</v>
      </c>
      <c r="I25" s="47">
        <v>402.72977772115121</v>
      </c>
      <c r="J25" s="48">
        <v>1.3799448022079119</v>
      </c>
    </row>
    <row r="26" spans="1:20" x14ac:dyDescent="0.2">
      <c r="A26" s="205">
        <f t="shared" si="3"/>
        <v>2025</v>
      </c>
      <c r="B26" s="205">
        <f t="shared" si="5"/>
        <v>2</v>
      </c>
      <c r="C26" s="53">
        <v>45809</v>
      </c>
      <c r="D26" s="45">
        <v>291.16415342061424</v>
      </c>
      <c r="E26" s="45">
        <v>560.10541846738681</v>
      </c>
      <c r="F26" s="45">
        <v>232.00423736741556</v>
      </c>
      <c r="G26" s="46">
        <v>367.54276770999985</v>
      </c>
      <c r="H26" s="45">
        <v>563.31107497709945</v>
      </c>
      <c r="I26" s="47">
        <v>395.79821643940375</v>
      </c>
      <c r="J26" s="48">
        <v>1.3799448022079119</v>
      </c>
    </row>
    <row r="27" spans="1:20" x14ac:dyDescent="0.2">
      <c r="A27" s="205">
        <f t="shared" si="3"/>
        <v>2025</v>
      </c>
      <c r="B27" s="205">
        <f>B26+1</f>
        <v>3</v>
      </c>
      <c r="C27" s="53">
        <v>45839</v>
      </c>
      <c r="D27" s="45">
        <v>317.97104474696624</v>
      </c>
      <c r="E27" s="45">
        <v>572.67945346053341</v>
      </c>
      <c r="F27" s="45">
        <v>253.513489255248</v>
      </c>
      <c r="G27" s="46">
        <v>387.58365874832759</v>
      </c>
      <c r="H27" s="45">
        <v>582.95019334286417</v>
      </c>
      <c r="I27" s="47">
        <v>414.9895035033627</v>
      </c>
      <c r="J27" s="48">
        <v>1.3799448022079119</v>
      </c>
    </row>
    <row r="28" spans="1:20" ht="14.25" x14ac:dyDescent="0.2">
      <c r="A28" s="205">
        <f t="shared" si="3"/>
        <v>2025</v>
      </c>
      <c r="B28" s="205">
        <f t="shared" si="5"/>
        <v>3</v>
      </c>
      <c r="C28" s="53">
        <v>45870</v>
      </c>
      <c r="D28" s="45">
        <v>322.04487696174766</v>
      </c>
      <c r="E28" s="45">
        <v>577.20101359247826</v>
      </c>
      <c r="F28" s="45">
        <v>239.52219941488255</v>
      </c>
      <c r="G28" s="46">
        <v>390.71894186565038</v>
      </c>
      <c r="H28" s="45">
        <v>586.74987755387758</v>
      </c>
      <c r="I28" s="47">
        <v>418.31913704982395</v>
      </c>
      <c r="J28" s="48">
        <v>1.3799448022079119</v>
      </c>
      <c r="N28" s="64"/>
      <c r="O28" s="42"/>
      <c r="P28" s="42"/>
      <c r="T28" s="357"/>
    </row>
    <row r="29" spans="1:20" ht="14.25" x14ac:dyDescent="0.2">
      <c r="A29" s="205">
        <f t="shared" si="3"/>
        <v>2025</v>
      </c>
      <c r="B29" s="205">
        <f t="shared" si="5"/>
        <v>3</v>
      </c>
      <c r="C29" s="53">
        <v>45901</v>
      </c>
      <c r="D29" s="45">
        <v>315.12004931078195</v>
      </c>
      <c r="E29" s="45">
        <v>587.06815816323785</v>
      </c>
      <c r="F29" s="45">
        <v>214.26708279125199</v>
      </c>
      <c r="G29" s="46">
        <v>385.99243610325112</v>
      </c>
      <c r="H29" s="45">
        <v>585.77163912731567</v>
      </c>
      <c r="I29" s="47">
        <v>415.43708927107497</v>
      </c>
      <c r="J29" s="48">
        <v>1.3799448022079119</v>
      </c>
      <c r="N29" s="116" t="s">
        <v>129</v>
      </c>
      <c r="O29" s="114">
        <v>90.15</v>
      </c>
      <c r="P29" s="114">
        <f>O29</f>
        <v>90.15</v>
      </c>
      <c r="Q29" t="s">
        <v>115</v>
      </c>
      <c r="T29" s="358"/>
    </row>
    <row r="30" spans="1:20" ht="14.25" x14ac:dyDescent="0.2">
      <c r="A30" s="205">
        <f t="shared" si="3"/>
        <v>2025</v>
      </c>
      <c r="B30" s="205">
        <f>B29+1</f>
        <v>4</v>
      </c>
      <c r="C30" s="53">
        <v>45931</v>
      </c>
      <c r="D30" s="45">
        <v>304.89252176540697</v>
      </c>
      <c r="E30" s="45">
        <v>572.60014226974238</v>
      </c>
      <c r="F30" s="45">
        <v>217.1856886969976</v>
      </c>
      <c r="G30" s="46">
        <v>378.01412563314324</v>
      </c>
      <c r="H30" s="45">
        <v>575.25932297889267</v>
      </c>
      <c r="I30" s="47">
        <v>406.58472588061312</v>
      </c>
      <c r="J30" s="48">
        <v>1.3799448022079119</v>
      </c>
      <c r="N30" s="64" t="str">
        <f>N29</f>
        <v>Contribution totale ASRA, Connue</v>
      </c>
      <c r="O30" s="115">
        <v>7.3899999999999993E-2</v>
      </c>
      <c r="P30" s="115">
        <f>O30</f>
        <v>7.3899999999999993E-2</v>
      </c>
      <c r="Q30" t="s">
        <v>126</v>
      </c>
      <c r="T30" s="358"/>
    </row>
    <row r="31" spans="1:20" x14ac:dyDescent="0.2">
      <c r="A31" s="205">
        <f t="shared" si="3"/>
        <v>2025</v>
      </c>
      <c r="B31" s="205">
        <f t="shared" si="5"/>
        <v>4</v>
      </c>
      <c r="C31" s="53">
        <v>45962</v>
      </c>
      <c r="D31" s="45">
        <v>292.97647814519604</v>
      </c>
      <c r="E31" s="45">
        <v>563.60875394834648</v>
      </c>
      <c r="F31" s="45">
        <v>199.65631882607337</v>
      </c>
      <c r="G31" s="46">
        <v>368.98880469655512</v>
      </c>
      <c r="H31" s="45">
        <v>565.46723367488039</v>
      </c>
      <c r="I31" s="47">
        <v>397.51555180853524</v>
      </c>
      <c r="J31" s="48">
        <v>1.3799448022079119</v>
      </c>
    </row>
    <row r="32" spans="1:20" ht="13.5" thickBot="1" x14ac:dyDescent="0.25">
      <c r="A32" s="36">
        <f t="shared" si="3"/>
        <v>2025</v>
      </c>
      <c r="B32" s="37">
        <f t="shared" si="5"/>
        <v>4</v>
      </c>
      <c r="C32" s="53">
        <v>45992</v>
      </c>
      <c r="D32" s="45">
        <v>302.41849089857266</v>
      </c>
      <c r="E32" s="45">
        <v>574.42037088185043</v>
      </c>
      <c r="F32" s="45">
        <v>189.23622484523318</v>
      </c>
      <c r="G32" s="50">
        <v>376.2669216471885</v>
      </c>
      <c r="H32" s="49">
        <v>574.37747502554748</v>
      </c>
      <c r="I32" s="51">
        <v>405.28524093184899</v>
      </c>
      <c r="J32" s="52">
        <v>1.3799448022079119</v>
      </c>
    </row>
    <row r="33" spans="1:10" x14ac:dyDescent="0.2">
      <c r="A33" s="205">
        <f t="shared" si="3"/>
        <v>1900</v>
      </c>
      <c r="B33" s="205">
        <f>B21</f>
        <v>1</v>
      </c>
      <c r="C33" s="54"/>
      <c r="D33" s="55">
        <v>0</v>
      </c>
      <c r="E33" s="55">
        <v>0</v>
      </c>
      <c r="F33" s="56">
        <v>0</v>
      </c>
      <c r="G33" s="46">
        <v>0</v>
      </c>
      <c r="H33" s="45">
        <v>0</v>
      </c>
      <c r="I33" s="47">
        <v>0</v>
      </c>
      <c r="J33" s="44"/>
    </row>
    <row r="34" spans="1:10" x14ac:dyDescent="0.2">
      <c r="A34" s="205">
        <f t="shared" si="3"/>
        <v>1900</v>
      </c>
      <c r="B34" s="205">
        <f>B33</f>
        <v>1</v>
      </c>
      <c r="C34" s="53"/>
      <c r="D34" s="45">
        <v>0</v>
      </c>
      <c r="E34" s="45">
        <v>0</v>
      </c>
      <c r="F34" s="47">
        <v>0</v>
      </c>
      <c r="G34" s="46">
        <v>0</v>
      </c>
      <c r="H34" s="45">
        <v>0</v>
      </c>
      <c r="I34" s="47">
        <v>0</v>
      </c>
      <c r="J34" s="48"/>
    </row>
    <row r="35" spans="1:10" x14ac:dyDescent="0.2">
      <c r="A35" s="205">
        <f t="shared" si="3"/>
        <v>1900</v>
      </c>
      <c r="B35" s="205">
        <f>B34</f>
        <v>1</v>
      </c>
      <c r="C35" s="53"/>
      <c r="D35" s="45">
        <v>0</v>
      </c>
      <c r="E35" s="45">
        <v>0</v>
      </c>
      <c r="F35" s="47">
        <v>0</v>
      </c>
      <c r="G35" s="46">
        <v>0</v>
      </c>
      <c r="H35" s="45">
        <v>0</v>
      </c>
      <c r="I35" s="47">
        <v>0</v>
      </c>
      <c r="J35" s="48"/>
    </row>
    <row r="36" spans="1:10" x14ac:dyDescent="0.2">
      <c r="A36" s="205">
        <f t="shared" si="3"/>
        <v>1900</v>
      </c>
      <c r="B36" s="205">
        <f>B35+1</f>
        <v>2</v>
      </c>
      <c r="C36" s="53"/>
      <c r="D36" s="45">
        <v>0</v>
      </c>
      <c r="E36" s="45">
        <v>0</v>
      </c>
      <c r="F36" s="47">
        <v>0</v>
      </c>
      <c r="G36" s="46">
        <v>0</v>
      </c>
      <c r="H36" s="45">
        <v>0</v>
      </c>
      <c r="I36" s="47">
        <v>0</v>
      </c>
      <c r="J36" s="48"/>
    </row>
    <row r="37" spans="1:10" x14ac:dyDescent="0.2">
      <c r="A37" s="205">
        <f t="shared" si="3"/>
        <v>1900</v>
      </c>
      <c r="B37" s="205">
        <f>B36</f>
        <v>2</v>
      </c>
      <c r="C37" s="53"/>
      <c r="D37" s="45">
        <v>0</v>
      </c>
      <c r="E37" s="45">
        <v>0</v>
      </c>
      <c r="F37" s="47">
        <v>0</v>
      </c>
      <c r="G37" s="46">
        <v>0</v>
      </c>
      <c r="H37" s="45">
        <v>0</v>
      </c>
      <c r="I37" s="47">
        <v>0</v>
      </c>
      <c r="J37" s="48"/>
    </row>
    <row r="38" spans="1:10" x14ac:dyDescent="0.2">
      <c r="A38" s="205">
        <f t="shared" si="3"/>
        <v>1900</v>
      </c>
      <c r="B38" s="205">
        <f>B37</f>
        <v>2</v>
      </c>
      <c r="C38" s="53"/>
      <c r="D38" s="45">
        <v>0</v>
      </c>
      <c r="E38" s="45">
        <v>0</v>
      </c>
      <c r="F38" s="47">
        <v>0</v>
      </c>
      <c r="G38" s="46">
        <v>0</v>
      </c>
      <c r="H38" s="45">
        <v>0</v>
      </c>
      <c r="I38" s="47">
        <v>0</v>
      </c>
      <c r="J38" s="48"/>
    </row>
    <row r="39" spans="1:10" x14ac:dyDescent="0.2">
      <c r="A39" s="205">
        <f t="shared" si="3"/>
        <v>1900</v>
      </c>
      <c r="B39" s="205">
        <f>B38+1</f>
        <v>3</v>
      </c>
      <c r="C39" s="53"/>
      <c r="D39" s="45">
        <v>0</v>
      </c>
      <c r="E39" s="45">
        <v>0</v>
      </c>
      <c r="F39" s="47">
        <v>0</v>
      </c>
      <c r="G39" s="46">
        <v>0</v>
      </c>
      <c r="H39" s="45">
        <v>0</v>
      </c>
      <c r="I39" s="47">
        <v>0</v>
      </c>
      <c r="J39" s="48"/>
    </row>
    <row r="40" spans="1:10" x14ac:dyDescent="0.2">
      <c r="A40" s="205">
        <f t="shared" si="3"/>
        <v>1900</v>
      </c>
      <c r="B40" s="205">
        <f>B39</f>
        <v>3</v>
      </c>
      <c r="C40" s="53"/>
      <c r="D40" s="45">
        <v>0</v>
      </c>
      <c r="E40" s="45">
        <v>0</v>
      </c>
      <c r="F40" s="47">
        <v>0</v>
      </c>
      <c r="G40" s="46">
        <v>0</v>
      </c>
      <c r="H40" s="45">
        <v>0</v>
      </c>
      <c r="I40" s="47">
        <v>0</v>
      </c>
      <c r="J40" s="48"/>
    </row>
    <row r="41" spans="1:10" x14ac:dyDescent="0.2">
      <c r="A41" s="205">
        <f t="shared" si="3"/>
        <v>1900</v>
      </c>
      <c r="B41" s="205">
        <f>B40</f>
        <v>3</v>
      </c>
      <c r="C41" s="53"/>
      <c r="D41" s="45">
        <v>0</v>
      </c>
      <c r="E41" s="45">
        <v>0</v>
      </c>
      <c r="F41" s="47">
        <v>0</v>
      </c>
      <c r="G41" s="46">
        <v>0</v>
      </c>
      <c r="H41" s="45">
        <v>0</v>
      </c>
      <c r="I41" s="47">
        <v>0</v>
      </c>
      <c r="J41" s="48"/>
    </row>
    <row r="42" spans="1:10" x14ac:dyDescent="0.2">
      <c r="A42" s="205">
        <f t="shared" si="3"/>
        <v>1900</v>
      </c>
      <c r="B42" s="205">
        <f>B41+1</f>
        <v>4</v>
      </c>
      <c r="C42" s="53"/>
      <c r="D42" s="45">
        <v>0</v>
      </c>
      <c r="E42" s="45">
        <v>0</v>
      </c>
      <c r="F42" s="47">
        <v>0</v>
      </c>
      <c r="G42" s="46">
        <v>0</v>
      </c>
      <c r="H42" s="45">
        <v>0</v>
      </c>
      <c r="I42" s="47">
        <v>0</v>
      </c>
      <c r="J42" s="48"/>
    </row>
    <row r="43" spans="1:10" x14ac:dyDescent="0.2">
      <c r="A43" s="205">
        <f t="shared" si="3"/>
        <v>1900</v>
      </c>
      <c r="B43" s="205">
        <f>B42</f>
        <v>4</v>
      </c>
      <c r="C43" s="53"/>
      <c r="D43" s="45">
        <v>0</v>
      </c>
      <c r="E43" s="45">
        <v>0</v>
      </c>
      <c r="F43" s="47">
        <v>0</v>
      </c>
      <c r="G43" s="46">
        <v>0</v>
      </c>
      <c r="H43" s="45">
        <v>0</v>
      </c>
      <c r="I43" s="47">
        <v>0</v>
      </c>
      <c r="J43" s="48"/>
    </row>
    <row r="44" spans="1:10" ht="13.5" thickBot="1" x14ac:dyDescent="0.25">
      <c r="A44" s="36">
        <f t="shared" si="3"/>
        <v>1900</v>
      </c>
      <c r="B44" s="37">
        <f>B43</f>
        <v>4</v>
      </c>
      <c r="C44" s="57"/>
      <c r="D44" s="49">
        <v>0</v>
      </c>
      <c r="E44" s="49">
        <v>0</v>
      </c>
      <c r="F44" s="51">
        <v>0</v>
      </c>
      <c r="G44" s="50">
        <v>0</v>
      </c>
      <c r="H44" s="49">
        <v>0</v>
      </c>
      <c r="I44" s="51">
        <v>0</v>
      </c>
      <c r="J44" s="52"/>
    </row>
  </sheetData>
  <sheetProtection algorithmName="SHA-512" hashValue="h9exJsQI25CbkcqpPpj+WwZ1qsEX0p4JPfg8xlB/dbP/aPIAwUSBoqwVSwRcqvY++vJS3+o6Y9G6ehZFcOJzMw==" saltValue="Y0f/Y2UrfcCWaSBcnnokWw==" spinCount="100000" sheet="1" objects="1" scenarios="1" selectLockedCells="1"/>
  <printOptions horizontalCentered="1"/>
  <pageMargins left="0.19685039370078741" right="0.23622047244094491" top="0.55118110236220474" bottom="0.39370078740157483" header="0.27559055118110237" footer="0.15748031496062992"/>
  <pageSetup scale="96" orientation="landscape" r:id="rId1"/>
  <headerFooter alignWithMargins="0"/>
  <colBreaks count="1" manualBreakCount="1">
    <brk id="11"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V26"/>
  <sheetViews>
    <sheetView showGridLines="0" zoomScale="80" zoomScaleNormal="80" workbookViewId="0">
      <selection activeCell="O6" sqref="O6"/>
    </sheetView>
  </sheetViews>
  <sheetFormatPr baseColWidth="10" defaultColWidth="10.7109375" defaultRowHeight="15" x14ac:dyDescent="0.2"/>
  <cols>
    <col min="1" max="1" width="3.42578125" style="6" customWidth="1"/>
    <col min="2" max="6" width="10.7109375" style="6"/>
    <col min="7" max="7" width="6.42578125" style="6" customWidth="1"/>
    <col min="8" max="8" width="10.7109375" style="6"/>
    <col min="9" max="9" width="18.7109375" style="6" customWidth="1"/>
    <col min="10" max="10" width="12.28515625" style="6" bestFit="1" customWidth="1"/>
    <col min="11" max="11" width="11.42578125" style="6" bestFit="1" customWidth="1"/>
    <col min="12" max="12" width="11.42578125" style="6" customWidth="1"/>
    <col min="13" max="13" width="7.140625" style="6" customWidth="1"/>
    <col min="14" max="14" width="13.7109375" style="6" bestFit="1" customWidth="1"/>
    <col min="15" max="15" width="13.140625" style="6" customWidth="1"/>
    <col min="16" max="16" width="15.42578125" style="6" customWidth="1"/>
    <col min="17" max="17" width="10.7109375" style="6" customWidth="1"/>
    <col min="18" max="18" width="10.140625" style="6" customWidth="1"/>
    <col min="19" max="19" width="10.42578125" style="6" customWidth="1"/>
    <col min="20" max="20" width="10.7109375" style="6" customWidth="1"/>
    <col min="21" max="21" width="8.140625" style="6" customWidth="1"/>
    <col min="22" max="22" width="7.7109375" style="6" customWidth="1"/>
    <col min="23" max="16384" width="10.7109375" style="6"/>
  </cols>
  <sheetData>
    <row r="1" spans="2:22" x14ac:dyDescent="0.2">
      <c r="B1" s="140" t="s">
        <v>86</v>
      </c>
      <c r="C1" s="6" t="s">
        <v>109</v>
      </c>
    </row>
    <row r="2" spans="2:22" x14ac:dyDescent="0.2">
      <c r="B2" s="6" t="s">
        <v>13</v>
      </c>
    </row>
    <row r="4" spans="2:22" x14ac:dyDescent="0.2">
      <c r="B4" s="6" t="s">
        <v>14</v>
      </c>
    </row>
    <row r="5" spans="2:22" x14ac:dyDescent="0.2">
      <c r="B5" s="6" t="s">
        <v>28</v>
      </c>
    </row>
    <row r="6" spans="2:22" x14ac:dyDescent="0.2">
      <c r="B6" s="6" t="s">
        <v>15</v>
      </c>
    </row>
    <row r="7" spans="2:22" x14ac:dyDescent="0.2">
      <c r="B7" s="6" t="s">
        <v>16</v>
      </c>
    </row>
    <row r="8" spans="2:22" x14ac:dyDescent="0.2">
      <c r="B8" s="6" t="s">
        <v>17</v>
      </c>
    </row>
    <row r="9" spans="2:22" x14ac:dyDescent="0.2">
      <c r="J9" s="405" t="s">
        <v>35</v>
      </c>
      <c r="K9" s="405"/>
      <c r="L9" s="405"/>
      <c r="N9" s="405" t="s">
        <v>33</v>
      </c>
      <c r="O9" s="405"/>
      <c r="Q9" s="79" t="s">
        <v>59</v>
      </c>
      <c r="R9" s="80"/>
      <c r="S9" s="80"/>
      <c r="T9" s="78"/>
    </row>
    <row r="10" spans="2:22" x14ac:dyDescent="0.2">
      <c r="B10" s="7" t="s">
        <v>18</v>
      </c>
      <c r="C10" s="8"/>
      <c r="D10" s="8"/>
      <c r="E10" s="8"/>
      <c r="F10" s="9"/>
      <c r="H10" s="6" t="s">
        <v>36</v>
      </c>
      <c r="J10" s="16" t="s">
        <v>25</v>
      </c>
      <c r="K10" s="16" t="s">
        <v>26</v>
      </c>
      <c r="L10" s="21" t="s">
        <v>34</v>
      </c>
      <c r="N10" s="16" t="s">
        <v>25</v>
      </c>
      <c r="O10" s="16" t="s">
        <v>26</v>
      </c>
      <c r="Q10" s="77" t="s">
        <v>57</v>
      </c>
      <c r="R10" s="78"/>
      <c r="S10" s="77" t="s">
        <v>58</v>
      </c>
      <c r="T10" s="78"/>
    </row>
    <row r="11" spans="2:22" x14ac:dyDescent="0.2">
      <c r="B11" s="10"/>
      <c r="D11" s="6" t="s">
        <v>24</v>
      </c>
      <c r="E11" s="19">
        <v>0.1</v>
      </c>
      <c r="F11" s="11" t="s">
        <v>21</v>
      </c>
      <c r="H11" s="6">
        <v>2006</v>
      </c>
      <c r="J11" s="74">
        <v>305.29000000000002</v>
      </c>
      <c r="K11" s="74">
        <v>20.29</v>
      </c>
      <c r="L11" s="74">
        <f>K11/0.854</f>
        <v>23.75878220140515</v>
      </c>
      <c r="N11" s="74">
        <v>39.1</v>
      </c>
      <c r="O11" s="75">
        <v>1.91</v>
      </c>
      <c r="P11" s="17"/>
      <c r="Q11" s="81" t="s">
        <v>25</v>
      </c>
      <c r="R11" s="82" t="s">
        <v>60</v>
      </c>
      <c r="S11" s="83" t="s">
        <v>9</v>
      </c>
      <c r="T11" s="82" t="s">
        <v>60</v>
      </c>
    </row>
    <row r="12" spans="2:22" x14ac:dyDescent="0.2">
      <c r="B12" s="10"/>
      <c r="D12" s="6" t="s">
        <v>23</v>
      </c>
      <c r="E12" s="19">
        <v>0.15</v>
      </c>
      <c r="F12" s="11" t="s">
        <v>21</v>
      </c>
      <c r="H12" s="6">
        <v>2007</v>
      </c>
      <c r="I12" s="67" t="s">
        <v>56</v>
      </c>
      <c r="J12" s="74">
        <v>367.79</v>
      </c>
      <c r="K12" s="74">
        <v>31.7</v>
      </c>
      <c r="L12" s="74">
        <f>K12/0.854</f>
        <v>37.119437939110071</v>
      </c>
      <c r="N12" s="74">
        <v>63.16</v>
      </c>
      <c r="O12" s="75">
        <v>4.25</v>
      </c>
      <c r="P12" s="17"/>
      <c r="Q12" s="90"/>
      <c r="R12" s="86"/>
      <c r="S12" s="91"/>
      <c r="T12" s="86"/>
    </row>
    <row r="13" spans="2:22" x14ac:dyDescent="0.2">
      <c r="B13" s="10"/>
      <c r="D13" s="6" t="s">
        <v>22</v>
      </c>
      <c r="E13" s="19">
        <v>0.2</v>
      </c>
      <c r="F13" s="11" t="s">
        <v>21</v>
      </c>
      <c r="H13" s="6">
        <v>2008</v>
      </c>
      <c r="I13" s="67" t="s">
        <v>56</v>
      </c>
      <c r="J13" s="74">
        <v>570</v>
      </c>
      <c r="K13" s="74">
        <v>46.09</v>
      </c>
      <c r="L13" s="74">
        <f>K13/0.854</f>
        <v>53.969555035128813</v>
      </c>
      <c r="N13" s="74">
        <v>111.9</v>
      </c>
      <c r="O13" s="75">
        <v>8.5500000000000007</v>
      </c>
      <c r="P13" s="17"/>
      <c r="Q13" s="90"/>
      <c r="R13" s="86"/>
      <c r="S13" s="91"/>
      <c r="T13" s="86"/>
    </row>
    <row r="14" spans="2:22" x14ac:dyDescent="0.2">
      <c r="B14" s="10"/>
      <c r="D14" s="6" t="s">
        <v>20</v>
      </c>
      <c r="E14" s="19">
        <v>0.25</v>
      </c>
      <c r="F14" s="11" t="s">
        <v>21</v>
      </c>
      <c r="H14" s="6">
        <v>2009</v>
      </c>
      <c r="I14" s="67" t="s">
        <v>56</v>
      </c>
      <c r="J14" s="74">
        <v>437.7</v>
      </c>
      <c r="K14" s="74">
        <v>35.92</v>
      </c>
      <c r="L14" s="74">
        <f>K14/0.9214</f>
        <v>38.984154547427828</v>
      </c>
      <c r="N14" s="74">
        <v>133.28</v>
      </c>
      <c r="O14" s="76">
        <v>11.47</v>
      </c>
      <c r="P14" s="17"/>
      <c r="Q14" s="90"/>
      <c r="R14" s="86"/>
      <c r="S14" s="91"/>
      <c r="T14" s="86"/>
    </row>
    <row r="15" spans="2:22" x14ac:dyDescent="0.2">
      <c r="B15" s="12"/>
      <c r="C15" s="13"/>
      <c r="D15" s="13" t="s">
        <v>19</v>
      </c>
      <c r="E15" s="20">
        <v>0.3</v>
      </c>
      <c r="F15" s="14" t="s">
        <v>21</v>
      </c>
      <c r="H15" s="6">
        <v>2010</v>
      </c>
      <c r="I15" s="67" t="s">
        <v>56</v>
      </c>
      <c r="J15" s="74">
        <v>164.74</v>
      </c>
      <c r="K15" s="74">
        <v>13.52</v>
      </c>
      <c r="L15" s="74">
        <f>K15/0.97</f>
        <v>13.938144329896907</v>
      </c>
      <c r="N15" s="74">
        <v>130.37</v>
      </c>
      <c r="O15" s="76">
        <v>10.79</v>
      </c>
      <c r="P15" s="17"/>
      <c r="Q15" s="84">
        <v>156.72999999999999</v>
      </c>
      <c r="R15" s="86">
        <f t="shared" ref="R15:R21" si="0">IF(Q15=0,"",Q15/N15)</f>
        <v>1.202193756232262</v>
      </c>
      <c r="S15" s="85">
        <v>13.01</v>
      </c>
      <c r="T15" s="86">
        <f t="shared" ref="T15:T21" si="1">IF(S15=0,"",S15/O15)</f>
        <v>1.205746061167748</v>
      </c>
      <c r="U15" s="92">
        <f>Q15/(N15*3)</f>
        <v>0.40073125207742061</v>
      </c>
      <c r="V15" s="92">
        <f>S15/(O15*3)</f>
        <v>0.40191535372258269</v>
      </c>
    </row>
    <row r="16" spans="2:22" x14ac:dyDescent="0.2">
      <c r="H16" s="6">
        <v>2011</v>
      </c>
      <c r="I16" s="67" t="s">
        <v>56</v>
      </c>
      <c r="J16" s="74">
        <v>199.99</v>
      </c>
      <c r="K16" s="74">
        <v>16.39</v>
      </c>
      <c r="L16" s="74">
        <f>K16/0.97</f>
        <v>16.896907216494846</v>
      </c>
      <c r="N16" s="74">
        <v>109.68</v>
      </c>
      <c r="O16" s="76">
        <v>9.15</v>
      </c>
      <c r="P16" s="17"/>
      <c r="Q16" s="84">
        <v>143.47999999999999</v>
      </c>
      <c r="R16" s="86">
        <f t="shared" si="0"/>
        <v>1.3081692195477752</v>
      </c>
      <c r="S16" s="85">
        <v>12.04</v>
      </c>
      <c r="T16" s="86">
        <f t="shared" si="1"/>
        <v>1.3158469945355189</v>
      </c>
      <c r="U16" s="92">
        <f>Q16/(N16*3)</f>
        <v>0.43605640651592503</v>
      </c>
      <c r="V16" s="92">
        <f>S16/(O16*3)</f>
        <v>0.43861566484517295</v>
      </c>
    </row>
    <row r="17" spans="2:22" x14ac:dyDescent="0.2">
      <c r="D17" s="95" t="s">
        <v>29</v>
      </c>
      <c r="E17" s="16" t="s">
        <v>25</v>
      </c>
      <c r="F17" s="16" t="s">
        <v>26</v>
      </c>
      <c r="H17" s="6">
        <v>2012</v>
      </c>
      <c r="I17" s="4" t="str">
        <f>I16</f>
        <v>Final FADQ</v>
      </c>
      <c r="J17" s="74">
        <v>340.58</v>
      </c>
      <c r="K17" s="74">
        <f>L17*100.5/100</f>
        <v>27.949049999999996</v>
      </c>
      <c r="L17" s="74">
        <v>27.81</v>
      </c>
      <c r="N17" s="74">
        <v>109.87</v>
      </c>
      <c r="O17" s="76">
        <v>9.14</v>
      </c>
      <c r="P17" s="17"/>
      <c r="Q17" s="84">
        <v>168.81</v>
      </c>
      <c r="R17" s="86">
        <f>IF(Q17=0,"",Q17/N17)</f>
        <v>1.5364521707472467</v>
      </c>
      <c r="S17" s="85">
        <v>13.71</v>
      </c>
      <c r="T17" s="86">
        <f>IF(S17=0,"",S17/O17)</f>
        <v>1.5</v>
      </c>
      <c r="U17" s="92">
        <f>Q17/(N17*3)</f>
        <v>0.51215072358241553</v>
      </c>
      <c r="V17" s="92">
        <f>S17/(O17*3)</f>
        <v>0.5</v>
      </c>
    </row>
    <row r="18" spans="2:22" x14ac:dyDescent="0.2">
      <c r="D18" s="6">
        <v>2011</v>
      </c>
      <c r="E18" s="65">
        <v>15.94</v>
      </c>
      <c r="F18" s="65">
        <v>0.95</v>
      </c>
      <c r="H18" s="6">
        <v>2013</v>
      </c>
      <c r="I18" s="4" t="str">
        <f>I17</f>
        <v>Final FADQ</v>
      </c>
      <c r="J18" s="74">
        <v>168.38</v>
      </c>
      <c r="K18" s="74">
        <f>L18*100.5/100</f>
        <v>13.81875</v>
      </c>
      <c r="L18" s="74">
        <v>13.75</v>
      </c>
      <c r="N18" s="74">
        <v>90.21</v>
      </c>
      <c r="O18" s="76">
        <f>0.076/1.05*100</f>
        <v>7.2380952380952381</v>
      </c>
      <c r="P18" s="17"/>
      <c r="Q18" s="93">
        <f>N18*3*U18</f>
        <v>159.19675535081345</v>
      </c>
      <c r="R18" s="86">
        <f>IF(Q18=0,"",Q18/N18)</f>
        <v>1.7647351219467182</v>
      </c>
      <c r="S18" s="93">
        <f>O18*3*V18</f>
        <v>12.190059849076246</v>
      </c>
      <c r="T18" s="86">
        <f>IF(S18=0,"",S18/O18)</f>
        <v>1.6841530054644813</v>
      </c>
      <c r="U18" s="94">
        <f>2*U17-U16</f>
        <v>0.58824504064890604</v>
      </c>
      <c r="V18" s="94">
        <f>2*V17-V16</f>
        <v>0.56138433515482711</v>
      </c>
    </row>
    <row r="19" spans="2:22" x14ac:dyDescent="0.2">
      <c r="D19" s="95">
        <v>2013</v>
      </c>
      <c r="E19" s="65">
        <v>2.1800000000000002</v>
      </c>
      <c r="F19" s="65">
        <v>0.38</v>
      </c>
      <c r="H19" s="6">
        <v>2014</v>
      </c>
      <c r="I19" s="4" t="str">
        <f>I18</f>
        <v>Final FADQ</v>
      </c>
      <c r="J19" s="74">
        <v>0</v>
      </c>
      <c r="K19" s="74">
        <v>0</v>
      </c>
      <c r="L19" s="74">
        <v>0</v>
      </c>
      <c r="N19" s="74">
        <v>22.07</v>
      </c>
      <c r="O19" s="76">
        <f>0.0246/1.05*100</f>
        <v>2.3428571428571425</v>
      </c>
      <c r="P19" s="17"/>
      <c r="Q19" s="93">
        <f>N19*3*U19</f>
        <v>43.98590887433641</v>
      </c>
      <c r="R19" s="86">
        <f>IF(Q19=0,"",Q19/N19)</f>
        <v>1.9930180731461897</v>
      </c>
      <c r="S19" s="93">
        <f>O19*3*V19</f>
        <v>4.3771740827478549</v>
      </c>
      <c r="T19" s="86">
        <f>IF(S19=0,"",S19/O19)</f>
        <v>1.8683060109289626</v>
      </c>
      <c r="U19" s="94">
        <f>2*U18-U17</f>
        <v>0.66433935771539654</v>
      </c>
      <c r="V19" s="94">
        <f>2*V18-V17</f>
        <v>0.62276867030965422</v>
      </c>
    </row>
    <row r="20" spans="2:22" x14ac:dyDescent="0.2">
      <c r="D20" s="6" t="s">
        <v>39</v>
      </c>
      <c r="E20" s="66">
        <v>22.2</v>
      </c>
      <c r="F20" s="66">
        <v>1.95</v>
      </c>
      <c r="H20" s="6">
        <v>2015</v>
      </c>
      <c r="I20" s="4" t="s">
        <v>27</v>
      </c>
      <c r="J20" s="18" t="e">
        <f>HLOOKUP($H20,Saisie!$O$10:$P$27,7,FALSE)</f>
        <v>#N/A</v>
      </c>
      <c r="K20" s="18" t="e">
        <f>L20*1</f>
        <v>#N/A</v>
      </c>
      <c r="L20" s="18" t="e">
        <f>HLOOKUP($H20,Saisie!$O$10:$P$27,8,FALSE)</f>
        <v>#N/A</v>
      </c>
      <c r="N20" s="109" t="e">
        <f>(((J16*$E$11)+(J17*$E$12)+(J18*$E$13)+(J19*$E$14)+(J20*$E$15))/3)+$E$19</f>
        <v>#N/A</v>
      </c>
      <c r="O20" s="110" t="e">
        <f>(((L16*$E$11)+(L17*$E$12)+(L18*$E$13)+(L19*$E$14)+(L20*$E$15))/3)+$F$19</f>
        <v>#N/A</v>
      </c>
      <c r="P20" s="17"/>
      <c r="Q20" s="84"/>
      <c r="R20" s="86" t="str">
        <f t="shared" si="0"/>
        <v/>
      </c>
      <c r="S20" s="85"/>
      <c r="T20" s="86" t="str">
        <f t="shared" si="1"/>
        <v/>
      </c>
    </row>
    <row r="21" spans="2:22" x14ac:dyDescent="0.2">
      <c r="B21" s="6" t="s">
        <v>30</v>
      </c>
      <c r="E21" s="15" t="s">
        <v>31</v>
      </c>
      <c r="F21" s="15" t="s">
        <v>31</v>
      </c>
      <c r="H21" s="6">
        <v>2016</v>
      </c>
      <c r="I21" s="4" t="s">
        <v>27</v>
      </c>
      <c r="J21" s="18"/>
      <c r="K21" s="18"/>
      <c r="L21" s="18"/>
      <c r="N21" s="109"/>
      <c r="O21" s="110"/>
      <c r="P21" s="17"/>
      <c r="Q21" s="87"/>
      <c r="R21" s="88" t="str">
        <f t="shared" si="0"/>
        <v/>
      </c>
      <c r="S21" s="89"/>
      <c r="T21" s="88" t="str">
        <f t="shared" si="1"/>
        <v/>
      </c>
    </row>
    <row r="22" spans="2:22" x14ac:dyDescent="0.2">
      <c r="B22" s="6" t="s">
        <v>32</v>
      </c>
      <c r="M22" s="95" t="s">
        <v>62</v>
      </c>
      <c r="N22" s="107">
        <f>91.46+(J26*0.3)/3</f>
        <v>92.614999999999995</v>
      </c>
      <c r="O22" s="96">
        <f>7.638+(K24*0.3)/3</f>
        <v>8.9244000000000003</v>
      </c>
      <c r="Q22" s="8"/>
      <c r="R22" s="8"/>
      <c r="S22" s="8"/>
      <c r="T22" s="8"/>
    </row>
    <row r="23" spans="2:22" x14ac:dyDescent="0.2">
      <c r="N23" s="96">
        <f>(1-(N17-N18)/N17)*N22</f>
        <v>76.042588058614712</v>
      </c>
      <c r="O23" s="96">
        <f>(1-(O17-O18)/O17)*O22</f>
        <v>7.067358549546733</v>
      </c>
    </row>
    <row r="24" spans="2:22" x14ac:dyDescent="0.2">
      <c r="I24" s="108" t="str">
        <f>M22</f>
        <v>FADQ estime 2013</v>
      </c>
      <c r="J24" s="111">
        <v>156.83000000000001</v>
      </c>
      <c r="K24" s="111">
        <v>12.864000000000001</v>
      </c>
    </row>
    <row r="26" spans="2:22" x14ac:dyDescent="0.2">
      <c r="J26" s="96">
        <f>J18-J24</f>
        <v>11.549999999999983</v>
      </c>
      <c r="K26" s="96">
        <f>K18-K24</f>
        <v>0.95474999999999888</v>
      </c>
    </row>
  </sheetData>
  <sheetProtection algorithmName="SHA-512" hashValue="TZgFLkCdrM6J+8/RI1UqXEX7h/0GK83bPmDPvKl4BHQO7DsMDZvkkXeUDGihjVPIdnGgN4IwWS0vntcQpyYosA==" saltValue="mvwiZFHjxGktMybD4LUPiw==" spinCount="100000" sheet="1" objects="1" scenarios="1" selectLockedCells="1"/>
  <mergeCells count="2">
    <mergeCell ref="J9:L9"/>
    <mergeCell ref="N9:O9"/>
  </mergeCells>
  <phoneticPr fontId="2" type="noConversion"/>
  <pageMargins left="0.70866141732283472" right="0.70866141732283472" top="0.74803149606299213" bottom="0.74803149606299213" header="0.31496062992125984" footer="0.31496062992125984"/>
  <pageSetup paperSize="5" scale="7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0049BAA21E7E4F80BE4AD55833F8AB" ma:contentTypeVersion="17" ma:contentTypeDescription="Crée un document." ma:contentTypeScope="" ma:versionID="6cb719e2cef9a45af458af21e992499d">
  <xsd:schema xmlns:xsd="http://www.w3.org/2001/XMLSchema" xmlns:xs="http://www.w3.org/2001/XMLSchema" xmlns:p="http://schemas.microsoft.com/office/2006/metadata/properties" xmlns:ns2="c2923c6d-ffb4-46d1-928f-9e14e27ee7a5" xmlns:ns3="d3dc7be6-3bb6-48c1-bdd5-392fa458784e" targetNamespace="http://schemas.microsoft.com/office/2006/metadata/properties" ma:root="true" ma:fieldsID="f39c0f86386348f99fcf50e22c3997ff" ns2:_="" ns3:_="">
    <xsd:import namespace="c2923c6d-ffb4-46d1-928f-9e14e27ee7a5"/>
    <xsd:import namespace="d3dc7be6-3bb6-48c1-bdd5-392fa45878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23c6d-ffb4-46d1-928f-9e14e27ee7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f2043388-4421-4dc8-b91a-63dd957a927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dc7be6-3bb6-48c1-bdd5-392fa458784e"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b868ec25-9345-4b64-b2f0-aae3e49818bf}" ma:internalName="TaxCatchAll" ma:showField="CatchAllData" ma:web="d3dc7be6-3bb6-48c1-bdd5-392fa45878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2923c6d-ffb4-46d1-928f-9e14e27ee7a5">
      <Terms xmlns="http://schemas.microsoft.com/office/infopath/2007/PartnerControls"/>
    </lcf76f155ced4ddcb4097134ff3c332f>
    <TaxCatchAll xmlns="d3dc7be6-3bb6-48c1-bdd5-392fa458784e" xsi:nil="true"/>
  </documentManagement>
</p:properties>
</file>

<file path=customXml/itemProps1.xml><?xml version="1.0" encoding="utf-8"?>
<ds:datastoreItem xmlns:ds="http://schemas.openxmlformats.org/officeDocument/2006/customXml" ds:itemID="{1411A25B-EF28-4229-B7FC-88606B1B5B37}">
  <ds:schemaRefs>
    <ds:schemaRef ds:uri="http://schemas.microsoft.com/sharepoint/v3/contenttype/forms"/>
  </ds:schemaRefs>
</ds:datastoreItem>
</file>

<file path=customXml/itemProps2.xml><?xml version="1.0" encoding="utf-8"?>
<ds:datastoreItem xmlns:ds="http://schemas.openxmlformats.org/officeDocument/2006/customXml" ds:itemID="{F4C69F93-60FC-4CF9-AD30-F6BBD0A548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23c6d-ffb4-46d1-928f-9e14e27ee7a5"/>
    <ds:schemaRef ds:uri="d3dc7be6-3bb6-48c1-bdd5-392fa45878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DDD3BE-5B36-4A25-AA23-47F0D11B0A09}">
  <ds:schemaRefs>
    <ds:schemaRef ds:uri="c2923c6d-ffb4-46d1-928f-9e14e27ee7a5"/>
    <ds:schemaRef ds:uri="http://purl.org/dc/terms/"/>
    <ds:schemaRef ds:uri="d3dc7be6-3bb6-48c1-bdd5-392fa458784e"/>
    <ds:schemaRef ds:uri="http://schemas.microsoft.com/office/2006/documentManagement/types"/>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15</vt:i4>
      </vt:variant>
    </vt:vector>
  </HeadingPairs>
  <TitlesOfParts>
    <vt:vector size="21" baseType="lpstr">
      <vt:lpstr>Information</vt:lpstr>
      <vt:lpstr>Résultats vs 2023</vt:lpstr>
      <vt:lpstr>Réductions du prix des porcs</vt:lpstr>
      <vt:lpstr>Détails ASRA</vt:lpstr>
      <vt:lpstr>Saisie</vt:lpstr>
      <vt:lpstr>Coti ASRA prev</vt:lpstr>
      <vt:lpstr>Information!_ftn1</vt:lpstr>
      <vt:lpstr>Information!_ftnref1</vt:lpstr>
      <vt:lpstr>'Détails ASRA'!Impression_des_titres</vt:lpstr>
      <vt:lpstr>Information!Impression_des_titres</vt:lpstr>
      <vt:lpstr>'Résultats vs 2023'!Impression_des_titres</vt:lpstr>
      <vt:lpstr>Saisie!nbporcsassurables</vt:lpstr>
      <vt:lpstr>Saisie!nbtruiesassurables</vt:lpstr>
      <vt:lpstr>Information!OLE_LINK1</vt:lpstr>
      <vt:lpstr>Information!OLE_LINK6</vt:lpstr>
      <vt:lpstr>Saisie!poidscarcasse</vt:lpstr>
      <vt:lpstr>'Coti ASRA prev'!Zone_d_impression</vt:lpstr>
      <vt:lpstr>'Détails ASRA'!Zone_d_impression</vt:lpstr>
      <vt:lpstr>Information!Zone_d_impression</vt:lpstr>
      <vt:lpstr>'Réductions du prix des porcs'!Zone_d_impression</vt:lpstr>
      <vt:lpstr>'Résultats vs 2023'!Zone_d_impression</vt:lpstr>
    </vt:vector>
  </TitlesOfParts>
  <Company>Centre de développement du porc du Québec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yallard</dc:creator>
  <cp:lastModifiedBy>Caroline Lacroix</cp:lastModifiedBy>
  <cp:lastPrinted>2024-11-08T20:23:31Z</cp:lastPrinted>
  <dcterms:created xsi:type="dcterms:W3CDTF">2011-03-03T19:05:14Z</dcterms:created>
  <dcterms:modified xsi:type="dcterms:W3CDTF">2024-11-08T21:05:34Z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0x010100A10049BAA21E7E4F80BE4AD55833F8AB</vt:lpwstr>
  </property>
  <property fmtid="{D5CDD505-2E9C-101B-9397-08002B2CF9AE}" pid="3" name="MediaServiceImageTags">
    <vt:lpwstr/>
  </property>
</Properties>
</file>